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6905" windowHeight="10905" activeTab="0"/>
  </bookViews>
  <sheets>
    <sheet name="PotTweaking" sheetId="1" r:id="rId1"/>
    <sheet name="Stepped_Pot" sheetId="2" r:id="rId2"/>
    <sheet name="Stepped_Pot_V2" sheetId="3" r:id="rId3"/>
    <sheet name="CalcOfStages" sheetId="4" r:id="rId4"/>
    <sheet name="shelf2k5" sheetId="5" r:id="rId5"/>
  </sheets>
  <definedNames/>
  <calcPr fullCalcOnLoad="1"/>
</workbook>
</file>

<file path=xl/sharedStrings.xml><?xml version="1.0" encoding="utf-8"?>
<sst xmlns="http://schemas.openxmlformats.org/spreadsheetml/2006/main" count="230" uniqueCount="180">
  <si>
    <t>Tweaking the 3d-EQ</t>
  </si>
  <si>
    <t>Freq.Band</t>
  </si>
  <si>
    <t>R fb</t>
  </si>
  <si>
    <t>40 Hz</t>
  </si>
  <si>
    <t>R42</t>
  </si>
  <si>
    <t>R43</t>
  </si>
  <si>
    <t>R series
No.</t>
  </si>
  <si>
    <t>RV
No.</t>
  </si>
  <si>
    <t>R 
series</t>
  </si>
  <si>
    <t>Sub</t>
  </si>
  <si>
    <t>R44</t>
  </si>
  <si>
    <t>R45</t>
  </si>
  <si>
    <t>160 Hz</t>
  </si>
  <si>
    <t>R40</t>
  </si>
  <si>
    <t>R41</t>
  </si>
  <si>
    <t>640 Hz</t>
  </si>
  <si>
    <t>R38</t>
  </si>
  <si>
    <t>R39</t>
  </si>
  <si>
    <t>2.56 kHz</t>
  </si>
  <si>
    <t>R36</t>
  </si>
  <si>
    <t>R fb
No.</t>
  </si>
  <si>
    <t>R30</t>
  </si>
  <si>
    <t>resulting in</t>
  </si>
  <si>
    <t>dB level
full ccw</t>
  </si>
  <si>
    <t>dB level
at center</t>
  </si>
  <si>
    <t>dB level
full cw</t>
  </si>
  <si>
    <t>related to neg.log potentiometers differing in their desired value at center position.</t>
  </si>
  <si>
    <t>R pot.
total</t>
  </si>
  <si>
    <t>R pot.
center</t>
  </si>
  <si>
    <t>The ideal taper law would be 1/10th of this pot.total resistance at center.</t>
  </si>
  <si>
    <t>Due to tolerances in manufacturing and different bending laws, these desired values differ in real world.</t>
  </si>
  <si>
    <t>From the schematic, Kevin posted, the 500k pot with neg.log law are sometimes hard to get.</t>
  </si>
  <si>
    <t>getting the to substitute parts in the green cells to have 0dB at center for all freq.bands.</t>
  </si>
  <si>
    <t>Be aware, that greater than 1/10th values at center will result in increasing the feedback resistor R30</t>
  </si>
  <si>
    <t>-Harpo</t>
  </si>
  <si>
    <t>R37</t>
  </si>
  <si>
    <t>change the typed in values to your real world parts, you fitted in (all resistor values in ohms)</t>
  </si>
  <si>
    <t>as above</t>
  </si>
  <si>
    <t>"</t>
  </si>
  <si>
    <t xml:space="preserve">from your above fitted values for your potentiometers </t>
  </si>
  <si>
    <r>
      <t xml:space="preserve">substitute R </t>
    </r>
    <r>
      <rPr>
        <b/>
        <i/>
        <sz val="10"/>
        <rFont val="Arial"/>
        <family val="2"/>
      </rPr>
      <t>series</t>
    </r>
    <r>
      <rPr>
        <b/>
        <sz val="10"/>
        <rFont val="Arial"/>
        <family val="2"/>
      </rPr>
      <t xml:space="preserve"> and/or R </t>
    </r>
    <r>
      <rPr>
        <b/>
        <i/>
        <sz val="10"/>
        <rFont val="Arial"/>
        <family val="2"/>
      </rPr>
      <t>feedback</t>
    </r>
    <r>
      <rPr>
        <b/>
        <sz val="10"/>
        <rFont val="Arial"/>
        <family val="2"/>
      </rPr>
      <t xml:space="preserve"> to nearest availiable resistor value</t>
    </r>
  </si>
  <si>
    <t>The easiest way would be to displace the knob marker and don't care that much about gain/loss at min./max.settings</t>
  </si>
  <si>
    <t xml:space="preserve">If for whatever reason (center detent pots, ..) you want it the hard way, replace the values in the yellow cells according to your fitted parts, </t>
  </si>
  <si>
    <t>so it might be better to exchange this part to a pot with its resistance at center equal or lower 1/10th of its total resistance .</t>
  </si>
  <si>
    <r>
      <t>causing reduced max.level settings for all other frequencies of this inverting summing amp. ( -AV = R</t>
    </r>
    <r>
      <rPr>
        <i/>
        <sz val="10"/>
        <rFont val="Arial"/>
        <family val="2"/>
      </rPr>
      <t>fb</t>
    </r>
    <r>
      <rPr>
        <sz val="10"/>
        <rFont val="Arial"/>
        <family val="0"/>
      </rPr>
      <t xml:space="preserve"> / (R</t>
    </r>
    <r>
      <rPr>
        <i/>
        <sz val="10"/>
        <rFont val="Arial"/>
        <family val="2"/>
      </rPr>
      <t>pot.</t>
    </r>
    <r>
      <rPr>
        <sz val="10"/>
        <rFont val="Arial"/>
        <family val="0"/>
      </rPr>
      <t xml:space="preserve"> + R</t>
    </r>
    <r>
      <rPr>
        <i/>
        <sz val="10"/>
        <rFont val="Arial"/>
        <family val="2"/>
      </rPr>
      <t>series</t>
    </r>
    <r>
      <rPr>
        <sz val="10"/>
        <rFont val="Arial"/>
        <family val="0"/>
      </rPr>
      <t>) )</t>
    </r>
  </si>
  <si>
    <t>Calculating the 3D-EQ</t>
  </si>
  <si>
    <t>Input stage</t>
  </si>
  <si>
    <t>by AV = R24 / (R24+R25) = 1540 / (1540+18200) = 0.078 = -22.157 dB</t>
  </si>
  <si>
    <t xml:space="preserve">Band 'sub': </t>
  </si>
  <si>
    <t>giving a -3dB cutoff at 1/(2xPI()xRxC) = 1/(2x3.1416 x 8250R x (1uF+1uF)) = 9.646 Hz</t>
  </si>
  <si>
    <t xml:space="preserve">hpf -3 dB cutoff is set by R21 and C11 in parallel with C55, </t>
  </si>
  <si>
    <t xml:space="preserve">lpf -3 dB cutoff is set by R23 and C12 in parallel with C19, </t>
  </si>
  <si>
    <t>giving a -3dB cutoff at 1/(2xPI()xRxC) = 1/(2x3.1416 x 82500R x (0.1uF+0.1uF)) = 9.646 Hz</t>
  </si>
  <si>
    <t>As you see, the cutoff frequencies of the highpass- and lowpass happen to be in the same spot</t>
  </si>
  <si>
    <t>Band '40Hz':</t>
  </si>
  <si>
    <t>built around op-amp 3b, with voltage gain AV = 1 + (R23 / R21) = 1 + ( 82500R / 8250R ) = 11 = 20.828 dB</t>
  </si>
  <si>
    <t>built around op-amp 3a, with voltage gain AV = 1 + (R20 / R18) = 1 + ( 20500R / 2050R ) = 11 = 20.828 dB</t>
  </si>
  <si>
    <t xml:space="preserve">hpf -3 dB cutoff is set by R18 and C9 in parallel with C54, </t>
  </si>
  <si>
    <t>giving a -3dB cutoff at 1/(2xPI()xRxC) = 1/(2x3.1416 x 2050R x (1uF+1uF)) = 38.818 Hz</t>
  </si>
  <si>
    <t xml:space="preserve">lpf -3 dB cutoff is set by R20 and C10 in parallel with C18, </t>
  </si>
  <si>
    <t>giving a -3dB cutoff at 1/(2xPI()xRxC) = 1/(2x3.1416 x 20500R x (0.1uF+0.1uF)) = 38.818 Hz</t>
  </si>
  <si>
    <t>Band '160Hz':</t>
  </si>
  <si>
    <t>built around op-amp 2b, with voltage gain AV = 1 + (R17 / R15) = 1 + ( 5110R / 511R ) = 11 = 20.828 dB</t>
  </si>
  <si>
    <t xml:space="preserve">hpf -3 dB cutoff is set by R15 and C7 in parallel with C53, </t>
  </si>
  <si>
    <t>giving a -3dB cutoff at 1/(2xPI()xRxC) = 1/(2x3.1416 x 511R x (1uF+1uF)) = 155.729 Hz</t>
  </si>
  <si>
    <t xml:space="preserve">lpf -3 dB cutoff is set by R17 and C8 in parallel with C17, </t>
  </si>
  <si>
    <t>giving a -3dB cutoff at 1/(2xPI()xRxC) = 1/(2x3.1416 x 5110R x (0.1uF+0.1uF)) = 155.729 Hz</t>
  </si>
  <si>
    <t>Band '650Hz':</t>
  </si>
  <si>
    <t>built around op-amp 2a, with voltage gain AV = 1 + (R14 / R12) = 1 + ( 1270R / 127R ) = 11 = 20.828 dB</t>
  </si>
  <si>
    <t xml:space="preserve">hpf -3 dB cutoff is set by R12 and C5 in parallel with C52, </t>
  </si>
  <si>
    <t>giving a -3dB cutoff at 1/(2xPI()xRxC) = 1/(2x3.1416 x 127R x (1uF+1uF)) = 626.594 Hz</t>
  </si>
  <si>
    <t xml:space="preserve">lpf -3 dB cutoff is set by R14 and C6 in parallel with C16, </t>
  </si>
  <si>
    <t>giving a -3dB cutoff at 1/(2xPI()xRxC) = 1/(2x3.1416 x 1270R x (0.1uF+0.1uF)) = 626.594 Hz</t>
  </si>
  <si>
    <t>Band '2.5kHz shelf':</t>
  </si>
  <si>
    <t xml:space="preserve">hpf -3 dB cutoff is set by R9 and C3 in parallel with C51, </t>
  </si>
  <si>
    <t>giving a -3dB cutoff at 1/(2xPI()xRxC) = 1/(2x3.1416 x 64.9R x (1uF+1uF)) = 1226.155 Hz</t>
  </si>
  <si>
    <t>This cutoff is where the signal is almost -3dB dropped, for a 6dB filter stage a nearly flat response is</t>
  </si>
  <si>
    <t>just 1 octave = double frequency above, giving 2x 1226.155 Hz = 2452.310 Hz</t>
  </si>
  <si>
    <t>giving a total of this filter stage of 18.962 dB + -3 dB = 15.962 dB at freqency 2452.310 Hz</t>
  </si>
  <si>
    <t>built around op-amp U1b, with voltage gain AV = 1 + (R11 / R9) = 1 + ( 511R / 64.9R ) = 8.874 = 18.962 dB</t>
  </si>
  <si>
    <t>built around op-amp U1a, with voltage gain AV = 1 + (R8 / R6) = 1 + ( 200R / 20R ) = 11 = 20.828 dB</t>
  </si>
  <si>
    <t xml:space="preserve">hpf -3 dB cutoff is set by R6 and C25-C28 in parallel, </t>
  </si>
  <si>
    <t>giving a -3dB cutoff at 1/(2xPI()xRxC) = 1/(2x3.1416 x 20R x (1uF+1uF+1uF+1uF)) = 1989.437 Hz</t>
  </si>
  <si>
    <t>Band 'Air shelf':</t>
  </si>
  <si>
    <t>at '2.5kHz'</t>
  </si>
  <si>
    <t>at '5kHz'</t>
  </si>
  <si>
    <t>at '10kHz'</t>
  </si>
  <si>
    <t>at '20kHz'</t>
  </si>
  <si>
    <t>at '40kHz'</t>
  </si>
  <si>
    <t xml:space="preserve">hpf -3 dB cutoff is set by R6 and C23-C24 in parallel, </t>
  </si>
  <si>
    <t>giving a -3dB cutoff at 1/(2xPI()xRxC) = 1/(2x3.1416 x 20R x (1uF+1uF)) = 3978.874 Hz</t>
  </si>
  <si>
    <t xml:space="preserve">hpf -3 dB cutoff is set by R6 and C22, </t>
  </si>
  <si>
    <t>giving a -3dB cutoff at 1/(2xPI()xRxC) = 1/(2x3.1416 x 20R x 1uF) = 7957.747 Hz</t>
  </si>
  <si>
    <t xml:space="preserve">hpf -3 dB cutoff is set by R6 and C21, </t>
  </si>
  <si>
    <t>giving a -3dB cutoff at 1/(2xPI()xRxC) = 1/(2x3.1416 x 20R x 0.47uF) = 16931.377 Hz</t>
  </si>
  <si>
    <t xml:space="preserve">hpf -3 dB cutoff is set by R6 and C20, </t>
  </si>
  <si>
    <t>giving a -3dB cutoff at 1/(2xPI()xRxC) = 1/(2x3.1416 x 20R x 0.22uF) = 36171.578 Hz</t>
  </si>
  <si>
    <t>deselects the op-amp output from the following summing stage and the inverting input from ground</t>
  </si>
  <si>
    <t>so the op-amp acts as voltage follower with a voltage gain AV = 1 + (200R / infinite) = 1 = 0 dB</t>
  </si>
  <si>
    <t>giving a total of this filter stage of 20.828 dB at selected freqencies</t>
  </si>
  <si>
    <t>Summing stage</t>
  </si>
  <si>
    <t>Inverting summing stage, built around op-amp U5 with voltage gain -AV = R30 / (R34 + R35) = 56200 / ( 0R ... 500000R + 5620R) = 0.111 ... 10 = -19.082 dB ... 20.000 dB</t>
  </si>
  <si>
    <t>With this potentiometer centered (1/10th of 500k = 50k) the voltage gain -AV = 56200R / (50000R + 5620R) = 1.010 = 0.090 dB</t>
  </si>
  <si>
    <t>The following filter band is designed to be 4 times the previous band, so the left out band (at double frequency of the previous band, known from</t>
  </si>
  <si>
    <t>This summing amp is bandwidth limited by C13 in the feedback path,</t>
  </si>
  <si>
    <t>forming a lowpass filter with its -3dB cutoff = 1 / ( 2x PI() x R30 x C13 ) = 1/(2x3.1416 x 56200R x 22pF) = 128724 Hz</t>
  </si>
  <si>
    <t>forming a highpassfilter with its -3dB cutoff = 1 / ( 2x PI() x 1/(1/R5 + 1/(R24+R25)) x C1 ) = 1/(2x3.1416 x 6637R x 470uF) = 0.05 Hz</t>
  </si>
  <si>
    <t>octave band equilizers) wich has almost dropped 6 dB from previous- and following stage add up to 0 dB.</t>
  </si>
  <si>
    <t>Differential input, built around U4a, voltage gain AV = R3 / R1 = 4k99/10k = 0.499 = -6.038 dB</t>
  </si>
  <si>
    <t>Output stage</t>
  </si>
  <si>
    <t>Inverting stage, built around op-amp U4b with voltage gain set for unballanced -AV = R26 / R27 = 20000R / 10000R = 2 = 6.021 dB</t>
  </si>
  <si>
    <t>or with voltage gain set for ballanced -AV = 1/(1/R26+1/R47) / R27 = 1/(1/20000R+1/20000R) / 10000R = 1 = 0.000 dB</t>
  </si>
  <si>
    <t xml:space="preserve">The output of previous summing- and output.amp is AC coupled to following filter stages by C14 or C15 and R28 or R33, </t>
  </si>
  <si>
    <t>forming a highpassfilter with its -3dB cutoff = 1 / ( 2x PI() x R28 x C14 ) = 1/(2x3.1416 x 10000R x 470uF) = 0.034 Hz</t>
  </si>
  <si>
    <t>followed by EMV-filter R29 or R32 in parallel with L1 or L2, filtering for 1/(2xPI() x R29 x L1) = 1/(2x3.1416 x 47.5R x 0.1uH) = 33506 Hz</t>
  </si>
  <si>
    <t>Total voltage gain</t>
  </si>
  <si>
    <t>voltage divider</t>
  </si>
  <si>
    <t>Voltage divider</t>
  </si>
  <si>
    <t>Summing stage ccw</t>
  </si>
  <si>
    <t>Summing stage center</t>
  </si>
  <si>
    <t>Summing stage cw</t>
  </si>
  <si>
    <t>Filter stage -6dB</t>
  </si>
  <si>
    <t>Output stage unbal.</t>
  </si>
  <si>
    <t>Output stage bal.</t>
  </si>
  <si>
    <t>Filter overlap at -24dB</t>
  </si>
  <si>
    <t>Filter overlap at -18dB</t>
  </si>
  <si>
    <t>Filter overlap at -12dB</t>
  </si>
  <si>
    <t>as these frequencies are already covered by the 2.5kHz shelving filter, these will always add up.</t>
  </si>
  <si>
    <t>Air band, filter ccw</t>
  </si>
  <si>
    <t>Calculation of stepped level adjusting the 3dEQ</t>
  </si>
  <si>
    <t>R feedback</t>
  </si>
  <si>
    <t>max.boost</t>
  </si>
  <si>
    <t>R37,39,41,43,45</t>
  </si>
  <si>
    <t>dB</t>
  </si>
  <si>
    <t>max.cut</t>
  </si>
  <si>
    <t>RV36,38,40,42,44</t>
  </si>
  <si>
    <t>step positions</t>
  </si>
  <si>
    <t>Step</t>
  </si>
  <si>
    <t>(2 to 25 positions)</t>
  </si>
  <si>
    <t>Boost/Cut
value in dB</t>
  </si>
  <si>
    <t>this is
voltage gain</t>
  </si>
  <si>
    <t>required R in
(to substitute Rseries+RV)</t>
  </si>
  <si>
    <t>corresponding part</t>
  </si>
  <si>
    <t xml:space="preserve"> -Harpo</t>
  </si>
  <si>
    <t>shelf 2k5</t>
  </si>
  <si>
    <r>
      <t xml:space="preserve">built around op-amp U1b, with voltage gain AV = </t>
    </r>
    <r>
      <rPr>
        <b/>
        <sz val="10"/>
        <rFont val="Arial"/>
        <family val="2"/>
      </rPr>
      <t>1 +</t>
    </r>
    <r>
      <rPr>
        <sz val="10"/>
        <rFont val="Arial"/>
        <family val="0"/>
      </rPr>
      <t xml:space="preserve"> (R11 / R9) = 1 + ( 511R / 64.9R ) = 8.874 = 18.962 dB</t>
    </r>
  </si>
  <si>
    <t>lowest band 'sub' is set for about 10Hz.</t>
  </si>
  <si>
    <t>because of the '1+(..' therm for non-inverting gain stages, not falling below voltage gain of 1.</t>
  </si>
  <si>
    <r>
      <t>giving a -3dB cutoff at 1/(2xPI()xRxC) = 1/(6,28 x 64.9R x 2uF) =</t>
    </r>
    <r>
      <rPr>
        <b/>
        <sz val="10"/>
        <rFont val="Arial"/>
        <family val="2"/>
      </rPr>
      <t xml:space="preserve"> 1226.155 Hz</t>
    </r>
  </si>
  <si>
    <t>octaves below, times -6dB/oct = 42dB required.</t>
  </si>
  <si>
    <t>The center frequency is calculated by Squareroot of ( hpf x lpf ) = SQR( 9.646Hz x 9.646Hz ) = 9.646 Hz</t>
  </si>
  <si>
    <t>The potentiometer R34 (or R36, R38, R40, R42, R44 depending on filter band) has negative logarithmic law, giving about 1/10th of ist total value at center</t>
  </si>
  <si>
    <t xml:space="preserve">This 'Air'-band selects its desired cutoff by a 2-Pole, 6-Position switch SW1, where the 1st position </t>
  </si>
  <si>
    <t xml:space="preserve">The output of previous diff.amp is AC coupled to following 'filter' stages by C1 and R5 in parallel to voltage divider R24+R25, </t>
  </si>
  <si>
    <t>Filter' stages</t>
  </si>
  <si>
    <t>The prementioned voltage divider, built by resistors R24 and R25 drop the incoming signal to not overload the following 'filter'-stages</t>
  </si>
  <si>
    <t xml:space="preserve">Be aware that non-inverting gain stages have at least a voltage gain of 1, so all bands always add up to a more or lesser degree. </t>
  </si>
  <si>
    <t>ohms</t>
  </si>
  <si>
    <t>closest E96 value in ohms</t>
  </si>
  <si>
    <r>
      <t xml:space="preserve">Essentially the same as the other chart, but by adding a </t>
    </r>
    <r>
      <rPr>
        <sz val="10"/>
        <color indexed="52"/>
        <rFont val="Arial"/>
        <family val="2"/>
      </rPr>
      <t>resistor in parallel</t>
    </r>
    <r>
      <rPr>
        <sz val="10"/>
        <rFont val="Arial"/>
        <family val="0"/>
      </rPr>
      <t xml:space="preserve"> outside to the </t>
    </r>
    <r>
      <rPr>
        <sz val="10"/>
        <color indexed="50"/>
        <rFont val="Arial"/>
        <family val="2"/>
      </rPr>
      <t>switched resistors</t>
    </r>
    <r>
      <rPr>
        <sz val="10"/>
        <rFont val="Arial"/>
        <family val="0"/>
      </rPr>
      <t xml:space="preserve"> </t>
    </r>
  </si>
  <si>
    <t>should help to limit the max.cut of a frequency band between switch-positions.</t>
  </si>
  <si>
    <t>Anyway the switch should be non shorting (bbm) to prevent a level increase of ~+6dB between switching.</t>
  </si>
  <si>
    <t>ohms (if you change it, also change R48 for bypass to the same value)</t>
  </si>
  <si>
    <t>max.cut between switching</t>
  </si>
  <si>
    <t>dB (must not be higher than regular max.cut)</t>
  </si>
  <si>
    <t>R in parallel</t>
  </si>
  <si>
    <t>closest E96 value</t>
  </si>
  <si>
    <t>with 'R in parallel'
the R at the switch is</t>
  </si>
  <si>
    <t>closest E96 value
in ohms</t>
  </si>
  <si>
    <t>:</t>
  </si>
  <si>
    <t>from filteramp</t>
  </si>
  <si>
    <t>summing node</t>
  </si>
  <si>
    <t>All 'filters' are built around non-inverting gain stages with a -6 dB slope highpass filter in the shunt path and a -6 dB slope lowpass filter in the feedback loop</t>
  </si>
  <si>
    <t>These filters have a 6 dB/oct. slope, so 1 octave above (=double frequency) and 1 octave below (=half frequency) of the center frequency the signal has dropped 6 dB.</t>
  </si>
  <si>
    <t>giving a total of this filter stage of 20.828dB + -8.5dB = 12.308dB at center freqency 38.818 Hz</t>
  </si>
  <si>
    <t>giving a total of this filter stage of 20.828dB + -8.5dB = 12.308dB at center freqency 155.729 Hz</t>
  </si>
  <si>
    <t>giving a total of this filter stage of 20.828dB + -8.5dB = 12.308dB</t>
  </si>
  <si>
    <t>giving a total of this filter stage of 20.828dB + -8.5dB = 12.308dB at center freqency 626.594 Hz</t>
  </si>
  <si>
    <t>and as for both filters this spot has dropped -3dB, the resulting loss for the filter is -3dB of a by -3dB dropped amplitude, giving about -8.5dB</t>
  </si>
  <si>
    <t>for the '2k5 shelf' not to affect the level of the 'sub' band, voltage gain in filter stages of 127 = 42dB would be required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</si>
</sst>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0\ \d\B"/>
    <numFmt numFmtId="166" formatCode="0.000"/>
    <numFmt numFmtId="167" formatCode="0.0000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52"/>
      <name val="Arial"/>
      <family val="2"/>
    </font>
    <font>
      <sz val="10"/>
      <color indexed="5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164" fontId="0" fillId="0" borderId="3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3" fontId="0" fillId="2" borderId="0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3" borderId="13" xfId="0" applyNumberFormat="1" applyFill="1" applyBorder="1" applyAlignment="1">
      <alignment horizontal="center"/>
    </xf>
    <xf numFmtId="3" fontId="0" fillId="3" borderId="5" xfId="0" applyNumberFormat="1" applyFill="1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14" xfId="0" applyBorder="1" applyAlignment="1">
      <alignment horizontal="center" wrapText="1"/>
    </xf>
    <xf numFmtId="0" fontId="0" fillId="4" borderId="0" xfId="0" applyFill="1" applyAlignment="1">
      <alignment/>
    </xf>
    <xf numFmtId="0" fontId="4" fillId="0" borderId="0" xfId="0" applyFont="1" applyAlignment="1" quotePrefix="1">
      <alignment/>
    </xf>
    <xf numFmtId="0" fontId="0" fillId="0" borderId="0" xfId="0" applyFill="1" applyAlignment="1">
      <alignment/>
    </xf>
    <xf numFmtId="3" fontId="0" fillId="5" borderId="0" xfId="0" applyNumberFormat="1" applyFill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6" borderId="0" xfId="0" applyFill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17</xdr:row>
      <xdr:rowOff>19050</xdr:rowOff>
    </xdr:from>
    <xdr:to>
      <xdr:col>8</xdr:col>
      <xdr:colOff>638175</xdr:colOff>
      <xdr:row>17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8134350" y="3095625"/>
          <a:ext cx="466725" cy="13335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657225</xdr:colOff>
      <xdr:row>19</xdr:row>
      <xdr:rowOff>28575</xdr:rowOff>
    </xdr:from>
    <xdr:to>
      <xdr:col>8</xdr:col>
      <xdr:colOff>342900</xdr:colOff>
      <xdr:row>19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7858125" y="3429000"/>
          <a:ext cx="4476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21</xdr:row>
      <xdr:rowOff>104775</xdr:rowOff>
    </xdr:from>
    <xdr:to>
      <xdr:col>8</xdr:col>
      <xdr:colOff>352425</xdr:colOff>
      <xdr:row>22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7848600" y="3829050"/>
          <a:ext cx="46672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657225</xdr:colOff>
      <xdr:row>23</xdr:row>
      <xdr:rowOff>19050</xdr:rowOff>
    </xdr:from>
    <xdr:to>
      <xdr:col>8</xdr:col>
      <xdr:colOff>361950</xdr:colOff>
      <xdr:row>23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7858125" y="4067175"/>
          <a:ext cx="46672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22</xdr:row>
      <xdr:rowOff>0</xdr:rowOff>
    </xdr:from>
    <xdr:to>
      <xdr:col>7</xdr:col>
      <xdr:colOff>647700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>
          <a:off x="7400925" y="3886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17</xdr:row>
      <xdr:rowOff>85725</xdr:rowOff>
    </xdr:from>
    <xdr:to>
      <xdr:col>8</xdr:col>
      <xdr:colOff>161925</xdr:colOff>
      <xdr:row>17</xdr:row>
      <xdr:rowOff>85725</xdr:rowOff>
    </xdr:to>
    <xdr:sp>
      <xdr:nvSpPr>
        <xdr:cNvPr id="6" name="Line 6"/>
        <xdr:cNvSpPr>
          <a:spLocks/>
        </xdr:cNvSpPr>
      </xdr:nvSpPr>
      <xdr:spPr>
        <a:xfrm flipH="1">
          <a:off x="7620000" y="31623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17</xdr:row>
      <xdr:rowOff>85725</xdr:rowOff>
    </xdr:from>
    <xdr:to>
      <xdr:col>7</xdr:col>
      <xdr:colOff>409575</xdr:colOff>
      <xdr:row>23</xdr:row>
      <xdr:rowOff>76200</xdr:rowOff>
    </xdr:to>
    <xdr:sp>
      <xdr:nvSpPr>
        <xdr:cNvPr id="7" name="Line 7"/>
        <xdr:cNvSpPr>
          <a:spLocks/>
        </xdr:cNvSpPr>
      </xdr:nvSpPr>
      <xdr:spPr>
        <a:xfrm flipV="1">
          <a:off x="7610475" y="31623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19</xdr:row>
      <xdr:rowOff>85725</xdr:rowOff>
    </xdr:from>
    <xdr:to>
      <xdr:col>7</xdr:col>
      <xdr:colOff>647700</xdr:colOff>
      <xdr:row>19</xdr:row>
      <xdr:rowOff>85725</xdr:rowOff>
    </xdr:to>
    <xdr:sp>
      <xdr:nvSpPr>
        <xdr:cNvPr id="8" name="Line 8"/>
        <xdr:cNvSpPr>
          <a:spLocks/>
        </xdr:cNvSpPr>
      </xdr:nvSpPr>
      <xdr:spPr>
        <a:xfrm flipH="1">
          <a:off x="7591425" y="34861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23</xdr:row>
      <xdr:rowOff>76200</xdr:rowOff>
    </xdr:from>
    <xdr:to>
      <xdr:col>7</xdr:col>
      <xdr:colOff>647700</xdr:colOff>
      <xdr:row>23</xdr:row>
      <xdr:rowOff>76200</xdr:rowOff>
    </xdr:to>
    <xdr:sp>
      <xdr:nvSpPr>
        <xdr:cNvPr id="9" name="Line 9"/>
        <xdr:cNvSpPr>
          <a:spLocks/>
        </xdr:cNvSpPr>
      </xdr:nvSpPr>
      <xdr:spPr>
        <a:xfrm flipH="1">
          <a:off x="7610475" y="4124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19</xdr:row>
      <xdr:rowOff>66675</xdr:rowOff>
    </xdr:from>
    <xdr:to>
      <xdr:col>8</xdr:col>
      <xdr:colOff>638175</xdr:colOff>
      <xdr:row>21</xdr:row>
      <xdr:rowOff>9525</xdr:rowOff>
    </xdr:to>
    <xdr:sp>
      <xdr:nvSpPr>
        <xdr:cNvPr id="10" name="Line 10"/>
        <xdr:cNvSpPr>
          <a:spLocks/>
        </xdr:cNvSpPr>
      </xdr:nvSpPr>
      <xdr:spPr>
        <a:xfrm>
          <a:off x="8277225" y="3467100"/>
          <a:ext cx="3238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21</xdr:row>
      <xdr:rowOff>152400</xdr:rowOff>
    </xdr:from>
    <xdr:to>
      <xdr:col>8</xdr:col>
      <xdr:colOff>638175</xdr:colOff>
      <xdr:row>21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8315325" y="38766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22</xdr:row>
      <xdr:rowOff>133350</xdr:rowOff>
    </xdr:from>
    <xdr:to>
      <xdr:col>8</xdr:col>
      <xdr:colOff>647700</xdr:colOff>
      <xdr:row>23</xdr:row>
      <xdr:rowOff>76200</xdr:rowOff>
    </xdr:to>
    <xdr:sp>
      <xdr:nvSpPr>
        <xdr:cNvPr id="12" name="Line 12"/>
        <xdr:cNvSpPr>
          <a:spLocks/>
        </xdr:cNvSpPr>
      </xdr:nvSpPr>
      <xdr:spPr>
        <a:xfrm flipV="1">
          <a:off x="8334375" y="4019550"/>
          <a:ext cx="2762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21</xdr:row>
      <xdr:rowOff>142875</xdr:rowOff>
    </xdr:from>
    <xdr:to>
      <xdr:col>9</xdr:col>
      <xdr:colOff>133350</xdr:colOff>
      <xdr:row>22</xdr:row>
      <xdr:rowOff>47625</xdr:rowOff>
    </xdr:to>
    <xdr:sp>
      <xdr:nvSpPr>
        <xdr:cNvPr id="13" name="Line 13"/>
        <xdr:cNvSpPr>
          <a:spLocks/>
        </xdr:cNvSpPr>
      </xdr:nvSpPr>
      <xdr:spPr>
        <a:xfrm flipH="1" flipV="1">
          <a:off x="8582025" y="3867150"/>
          <a:ext cx="2762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17</xdr:row>
      <xdr:rowOff>85725</xdr:rowOff>
    </xdr:from>
    <xdr:to>
      <xdr:col>9</xdr:col>
      <xdr:colOff>342900</xdr:colOff>
      <xdr:row>17</xdr:row>
      <xdr:rowOff>85725</xdr:rowOff>
    </xdr:to>
    <xdr:sp>
      <xdr:nvSpPr>
        <xdr:cNvPr id="14" name="Line 14"/>
        <xdr:cNvSpPr>
          <a:spLocks/>
        </xdr:cNvSpPr>
      </xdr:nvSpPr>
      <xdr:spPr>
        <a:xfrm>
          <a:off x="8610600" y="31623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17</xdr:row>
      <xdr:rowOff>85725</xdr:rowOff>
    </xdr:from>
    <xdr:to>
      <xdr:col>9</xdr:col>
      <xdr:colOff>342900</xdr:colOff>
      <xdr:row>22</xdr:row>
      <xdr:rowOff>47625</xdr:rowOff>
    </xdr:to>
    <xdr:sp>
      <xdr:nvSpPr>
        <xdr:cNvPr id="15" name="Line 15"/>
        <xdr:cNvSpPr>
          <a:spLocks/>
        </xdr:cNvSpPr>
      </xdr:nvSpPr>
      <xdr:spPr>
        <a:xfrm flipV="1">
          <a:off x="9067800" y="31623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22</xdr:row>
      <xdr:rowOff>0</xdr:rowOff>
    </xdr:from>
    <xdr:to>
      <xdr:col>7</xdr:col>
      <xdr:colOff>180975</xdr:colOff>
      <xdr:row>22</xdr:row>
      <xdr:rowOff>0</xdr:rowOff>
    </xdr:to>
    <xdr:sp>
      <xdr:nvSpPr>
        <xdr:cNvPr id="16" name="Line 16"/>
        <xdr:cNvSpPr>
          <a:spLocks/>
        </xdr:cNvSpPr>
      </xdr:nvSpPr>
      <xdr:spPr>
        <a:xfrm>
          <a:off x="7115175" y="38862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533400</xdr:colOff>
      <xdr:row>22</xdr:row>
      <xdr:rowOff>47625</xdr:rowOff>
    </xdr:from>
    <xdr:to>
      <xdr:col>9</xdr:col>
      <xdr:colOff>714375</xdr:colOff>
      <xdr:row>22</xdr:row>
      <xdr:rowOff>57150</xdr:rowOff>
    </xdr:to>
    <xdr:sp>
      <xdr:nvSpPr>
        <xdr:cNvPr id="17" name="Line 17"/>
        <xdr:cNvSpPr>
          <a:spLocks/>
        </xdr:cNvSpPr>
      </xdr:nvSpPr>
      <xdr:spPr>
        <a:xfrm>
          <a:off x="9258300" y="3933825"/>
          <a:ext cx="180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22</xdr:row>
      <xdr:rowOff>47625</xdr:rowOff>
    </xdr:from>
    <xdr:to>
      <xdr:col>9</xdr:col>
      <xdr:colOff>542925</xdr:colOff>
      <xdr:row>22</xdr:row>
      <xdr:rowOff>57150</xdr:rowOff>
    </xdr:to>
    <xdr:sp>
      <xdr:nvSpPr>
        <xdr:cNvPr id="18" name="Line 18"/>
        <xdr:cNvSpPr>
          <a:spLocks/>
        </xdr:cNvSpPr>
      </xdr:nvSpPr>
      <xdr:spPr>
        <a:xfrm flipH="1" flipV="1">
          <a:off x="8839200" y="3933825"/>
          <a:ext cx="42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A1" sqref="A1"/>
    </sheetView>
  </sheetViews>
  <sheetFormatPr defaultColWidth="11.421875" defaultRowHeight="12.75"/>
  <cols>
    <col min="2" max="2" width="4.28125" style="2" bestFit="1" customWidth="1"/>
    <col min="3" max="3" width="9.28125" style="1" customWidth="1"/>
    <col min="4" max="4" width="9.8515625" style="1" customWidth="1"/>
    <col min="5" max="6" width="7.8515625" style="1" bestFit="1" customWidth="1"/>
    <col min="7" max="7" width="4.28125" style="1" bestFit="1" customWidth="1"/>
    <col min="8" max="8" width="11.421875" style="1" customWidth="1"/>
    <col min="10" max="12" width="11.421875" style="3" customWidth="1"/>
  </cols>
  <sheetData>
    <row r="1" ht="12.75">
      <c r="A1" s="21" t="s">
        <v>0</v>
      </c>
    </row>
    <row r="3" ht="12.75">
      <c r="A3" s="23" t="s">
        <v>26</v>
      </c>
    </row>
    <row r="5" ht="12.75">
      <c r="A5" t="s">
        <v>31</v>
      </c>
    </row>
    <row r="6" ht="12.75">
      <c r="A6" t="s">
        <v>29</v>
      </c>
    </row>
    <row r="7" ht="12.75">
      <c r="A7" t="s">
        <v>30</v>
      </c>
    </row>
    <row r="8" ht="12.75">
      <c r="A8" s="21" t="s">
        <v>41</v>
      </c>
    </row>
    <row r="9" ht="12.75">
      <c r="A9" s="21"/>
    </row>
    <row r="10" ht="12.75">
      <c r="A10" t="s">
        <v>42</v>
      </c>
    </row>
    <row r="11" ht="12.75">
      <c r="A11" t="s">
        <v>32</v>
      </c>
    </row>
    <row r="12" ht="12.75">
      <c r="A12" t="s">
        <v>33</v>
      </c>
    </row>
    <row r="13" ht="12.75">
      <c r="A13" t="s">
        <v>44</v>
      </c>
    </row>
    <row r="14" ht="12.75">
      <c r="A14" t="s">
        <v>43</v>
      </c>
    </row>
    <row r="16" ht="13.5" thickBot="1">
      <c r="A16" s="21" t="s">
        <v>36</v>
      </c>
    </row>
    <row r="17" spans="1:12" ht="26.25" customHeight="1" thickBot="1">
      <c r="A17" s="17" t="s">
        <v>1</v>
      </c>
      <c r="B17" s="9" t="s">
        <v>7</v>
      </c>
      <c r="C17" s="4" t="s">
        <v>27</v>
      </c>
      <c r="D17" s="10" t="s">
        <v>28</v>
      </c>
      <c r="E17" s="9" t="s">
        <v>6</v>
      </c>
      <c r="F17" s="10" t="s">
        <v>8</v>
      </c>
      <c r="G17" s="9" t="s">
        <v>20</v>
      </c>
      <c r="H17" s="5" t="s">
        <v>2</v>
      </c>
      <c r="I17" t="s">
        <v>22</v>
      </c>
      <c r="J17" s="6" t="s">
        <v>23</v>
      </c>
      <c r="K17" s="7" t="s">
        <v>24</v>
      </c>
      <c r="L17" s="8" t="s">
        <v>25</v>
      </c>
    </row>
    <row r="18" spans="1:12" ht="12.75">
      <c r="A18" s="18" t="s">
        <v>9</v>
      </c>
      <c r="B18" s="11" t="s">
        <v>10</v>
      </c>
      <c r="C18" s="24">
        <v>556380</v>
      </c>
      <c r="D18" s="25">
        <v>50580</v>
      </c>
      <c r="E18" s="11" t="s">
        <v>11</v>
      </c>
      <c r="F18" s="28">
        <v>5620</v>
      </c>
      <c r="G18" s="11" t="s">
        <v>21</v>
      </c>
      <c r="H18" s="28">
        <v>56200</v>
      </c>
      <c r="J18" s="3">
        <f>LOG10($H$18/(C18+F18))*20</f>
        <v>-20</v>
      </c>
      <c r="K18" s="3">
        <f>LOG10($H$18/(D18+F18))*20</f>
        <v>0</v>
      </c>
      <c r="L18" s="3">
        <f>LOG10($H$18/F18)*20</f>
        <v>20</v>
      </c>
    </row>
    <row r="19" spans="1:12" ht="12.75">
      <c r="A19" s="18" t="s">
        <v>3</v>
      </c>
      <c r="B19" s="11" t="s">
        <v>4</v>
      </c>
      <c r="C19" s="24">
        <v>500000</v>
      </c>
      <c r="D19" s="25">
        <v>50000</v>
      </c>
      <c r="E19" s="11" t="s">
        <v>5</v>
      </c>
      <c r="F19" s="28">
        <v>5620</v>
      </c>
      <c r="G19" s="11"/>
      <c r="H19" s="13"/>
      <c r="J19" s="3">
        <f>LOG10($H$18/(C19+F19))*20</f>
        <v>-19.08175857471646</v>
      </c>
      <c r="K19" s="3">
        <f>LOG10($H$18/(D19+F19))*20</f>
        <v>0.09010662081840762</v>
      </c>
      <c r="L19" s="3">
        <f>LOG10($H$18/F19)*20</f>
        <v>20</v>
      </c>
    </row>
    <row r="20" spans="1:12" ht="12.75">
      <c r="A20" s="18" t="s">
        <v>12</v>
      </c>
      <c r="B20" s="11" t="s">
        <v>13</v>
      </c>
      <c r="C20" s="24">
        <v>503500</v>
      </c>
      <c r="D20" s="25">
        <v>48000</v>
      </c>
      <c r="E20" s="11" t="s">
        <v>14</v>
      </c>
      <c r="F20" s="28">
        <v>5620</v>
      </c>
      <c r="G20" s="11"/>
      <c r="H20" s="13"/>
      <c r="J20" s="3">
        <f>LOG10($H$18/(C20+F20))*20</f>
        <v>-19.141676847948528</v>
      </c>
      <c r="K20" s="3">
        <f>LOG10($H$18/(D20+F20))*20</f>
        <v>0.40819011844400566</v>
      </c>
      <c r="L20" s="3">
        <f>LOG10($H$18/F20)*20</f>
        <v>20</v>
      </c>
    </row>
    <row r="21" spans="1:12" ht="12.75">
      <c r="A21" s="18" t="s">
        <v>15</v>
      </c>
      <c r="B21" s="11" t="s">
        <v>16</v>
      </c>
      <c r="C21" s="24">
        <v>489600</v>
      </c>
      <c r="D21" s="25">
        <v>51200</v>
      </c>
      <c r="E21" s="11" t="s">
        <v>17</v>
      </c>
      <c r="F21" s="28">
        <v>5620</v>
      </c>
      <c r="G21" s="11"/>
      <c r="H21" s="13"/>
      <c r="J21" s="3">
        <f>LOG10($H$18/(C21+F21))*20</f>
        <v>-18.9012372050733</v>
      </c>
      <c r="K21" s="3">
        <f>LOG10($H$18/(D21+F21))*20</f>
        <v>-0.09529827635711892</v>
      </c>
      <c r="L21" s="3">
        <f>LOG10($H$18/F21)*20</f>
        <v>20</v>
      </c>
    </row>
    <row r="22" spans="1:12" ht="13.5" thickBot="1">
      <c r="A22" s="19" t="s">
        <v>18</v>
      </c>
      <c r="B22" s="14" t="s">
        <v>19</v>
      </c>
      <c r="C22" s="26">
        <v>500000</v>
      </c>
      <c r="D22" s="27">
        <v>50000</v>
      </c>
      <c r="E22" s="14" t="s">
        <v>35</v>
      </c>
      <c r="F22" s="29">
        <v>5620</v>
      </c>
      <c r="G22" s="14"/>
      <c r="H22" s="16"/>
      <c r="J22" s="3">
        <f>LOG10($H$18/(C22+F22))*20</f>
        <v>-19.08175857471646</v>
      </c>
      <c r="K22" s="3">
        <f>LOG10($H$18/(D22+F22))*20</f>
        <v>0.09010662081840762</v>
      </c>
      <c r="L22" s="3">
        <f>LOG10($H$18/F22)*20</f>
        <v>20</v>
      </c>
    </row>
    <row r="24" ht="12.75">
      <c r="A24" s="21" t="s">
        <v>39</v>
      </c>
    </row>
    <row r="25" ht="13.5" thickBot="1">
      <c r="A25" s="21" t="s">
        <v>40</v>
      </c>
    </row>
    <row r="26" spans="1:12" ht="26.25" customHeight="1" thickBot="1">
      <c r="A26" s="17" t="s">
        <v>1</v>
      </c>
      <c r="B26" s="9" t="s">
        <v>7</v>
      </c>
      <c r="C26" s="4" t="s">
        <v>27</v>
      </c>
      <c r="D26" s="10" t="s">
        <v>28</v>
      </c>
      <c r="E26" s="9" t="s">
        <v>6</v>
      </c>
      <c r="F26" s="10" t="s">
        <v>8</v>
      </c>
      <c r="G26" s="9" t="s">
        <v>20</v>
      </c>
      <c r="H26" s="5" t="s">
        <v>2</v>
      </c>
      <c r="I26" t="s">
        <v>22</v>
      </c>
      <c r="J26" s="6" t="s">
        <v>23</v>
      </c>
      <c r="K26" s="7" t="s">
        <v>24</v>
      </c>
      <c r="L26" s="8" t="s">
        <v>25</v>
      </c>
    </row>
    <row r="27" spans="1:12" ht="12.75">
      <c r="A27" s="18" t="s">
        <v>9</v>
      </c>
      <c r="B27" s="11"/>
      <c r="C27" s="12" t="s">
        <v>37</v>
      </c>
      <c r="D27" s="13"/>
      <c r="E27" s="20" t="s">
        <v>11</v>
      </c>
      <c r="F27" s="30">
        <f>$H$27-D18</f>
        <v>5740.000000000007</v>
      </c>
      <c r="G27" s="11" t="s">
        <v>21</v>
      </c>
      <c r="H27" s="31">
        <f>MAX(D18:D22)*1.1</f>
        <v>56320.00000000001</v>
      </c>
      <c r="J27" s="3">
        <f>LOG10($H$27/(C18+F27))*20</f>
        <v>-19.983327829081073</v>
      </c>
      <c r="K27" s="3">
        <f>LOG10($H$27/(D18+F27))*20</f>
        <v>0</v>
      </c>
      <c r="L27" s="3">
        <f>LOG10($H$27/F27)*20</f>
        <v>19.835015074721635</v>
      </c>
    </row>
    <row r="28" spans="1:12" ht="12.75">
      <c r="A28" s="18" t="s">
        <v>3</v>
      </c>
      <c r="B28" s="11"/>
      <c r="C28" s="12" t="s">
        <v>38</v>
      </c>
      <c r="D28" s="13"/>
      <c r="E28" s="11" t="s">
        <v>5</v>
      </c>
      <c r="F28" s="31">
        <f>$H$27-D19</f>
        <v>6320.000000000007</v>
      </c>
      <c r="G28" s="11"/>
      <c r="H28" s="13"/>
      <c r="J28" s="3">
        <f>LOG10($H$27/(C19+F28))*20</f>
        <v>-19.075248730648685</v>
      </c>
      <c r="K28" s="3">
        <f>LOG10($H$27/(D19+F28))*20</f>
        <v>0</v>
      </c>
      <c r="L28" s="3">
        <f>LOG10($H$27/F28)*20</f>
        <v>18.998911357033407</v>
      </c>
    </row>
    <row r="29" spans="1:12" ht="12.75">
      <c r="A29" s="18" t="s">
        <v>12</v>
      </c>
      <c r="B29" s="11"/>
      <c r="C29" s="12" t="s">
        <v>38</v>
      </c>
      <c r="D29" s="13"/>
      <c r="E29" s="11" t="s">
        <v>14</v>
      </c>
      <c r="F29" s="31">
        <f>$H$27-D20</f>
        <v>8320.000000000007</v>
      </c>
      <c r="G29" s="11"/>
      <c r="H29" s="13"/>
      <c r="J29" s="3">
        <f>LOG10($H$27/(C20+F29))*20</f>
        <v>-19.16909212686234</v>
      </c>
      <c r="K29" s="3">
        <f>LOG10($H$27/(D20+F29))*20</f>
        <v>0</v>
      </c>
      <c r="L29" s="3">
        <f>LOG10($H$27/F29)*20</f>
        <v>16.61078639686663</v>
      </c>
    </row>
    <row r="30" spans="1:12" ht="12.75">
      <c r="A30" s="18" t="s">
        <v>15</v>
      </c>
      <c r="B30" s="11"/>
      <c r="C30" s="12" t="s">
        <v>38</v>
      </c>
      <c r="D30" s="13"/>
      <c r="E30" s="11" t="s">
        <v>17</v>
      </c>
      <c r="F30" s="31">
        <f>$H$27-D21</f>
        <v>5120.000000000007</v>
      </c>
      <c r="G30" s="11"/>
      <c r="H30" s="13"/>
      <c r="J30" s="3">
        <f>LOG10($H$27/(C21+F30))*20</f>
        <v>-18.873936435363124</v>
      </c>
      <c r="K30" s="3">
        <f>LOG10($H$27/(D21+F30))*20</f>
        <v>0</v>
      </c>
      <c r="L30" s="3">
        <f>LOG10($H$27/F30)*20</f>
        <v>20.82785370316449</v>
      </c>
    </row>
    <row r="31" spans="1:12" ht="13.5" thickBot="1">
      <c r="A31" s="19" t="s">
        <v>18</v>
      </c>
      <c r="B31" s="14"/>
      <c r="C31" s="15" t="s">
        <v>38</v>
      </c>
      <c r="D31" s="16"/>
      <c r="E31" s="14" t="s">
        <v>35</v>
      </c>
      <c r="F31" s="32">
        <f>$H$27-D22</f>
        <v>6320.000000000007</v>
      </c>
      <c r="G31" s="14"/>
      <c r="H31" s="16"/>
      <c r="J31" s="3">
        <f>LOG10($H$27/(C22+F31))*20</f>
        <v>-19.075248730648685</v>
      </c>
      <c r="K31" s="3">
        <f>LOG10($H$27/(D22+F31))*20</f>
        <v>0</v>
      </c>
      <c r="L31" s="3">
        <f>LOG10($H$27/F31)*20</f>
        <v>18.998911357033407</v>
      </c>
    </row>
    <row r="34" ht="12.75">
      <c r="A34" s="22" t="s">
        <v>34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0" customWidth="1"/>
    <col min="2" max="2" width="18.00390625" style="0" customWidth="1"/>
    <col min="4" max="4" width="15.8515625" style="0" customWidth="1"/>
  </cols>
  <sheetData>
    <row r="1" ht="12.75">
      <c r="A1" s="46" t="s">
        <v>129</v>
      </c>
    </row>
    <row r="3" ht="12.75">
      <c r="B3" t="s">
        <v>142</v>
      </c>
    </row>
    <row r="4" spans="1:4" ht="12.75">
      <c r="A4" t="s">
        <v>130</v>
      </c>
      <c r="B4" t="s">
        <v>21</v>
      </c>
      <c r="C4" s="42">
        <v>56200</v>
      </c>
      <c r="D4" t="s">
        <v>157</v>
      </c>
    </row>
    <row r="5" spans="1:4" ht="12.75">
      <c r="A5" t="s">
        <v>131</v>
      </c>
      <c r="B5" t="s">
        <v>132</v>
      </c>
      <c r="C5" s="42">
        <v>5</v>
      </c>
      <c r="D5" t="s">
        <v>133</v>
      </c>
    </row>
    <row r="6" spans="1:4" ht="12.75">
      <c r="A6" t="s">
        <v>134</v>
      </c>
      <c r="B6" t="s">
        <v>135</v>
      </c>
      <c r="C6" s="42">
        <v>-5</v>
      </c>
      <c r="D6" t="s">
        <v>133</v>
      </c>
    </row>
    <row r="7" spans="1:4" ht="12.75">
      <c r="A7" t="s">
        <v>136</v>
      </c>
      <c r="C7" s="42">
        <v>11</v>
      </c>
      <c r="D7" t="s">
        <v>138</v>
      </c>
    </row>
    <row r="9" spans="1:5" ht="38.25">
      <c r="A9" s="38" t="s">
        <v>137</v>
      </c>
      <c r="B9" s="41" t="s">
        <v>139</v>
      </c>
      <c r="C9" s="41" t="s">
        <v>140</v>
      </c>
      <c r="D9" s="41" t="s">
        <v>141</v>
      </c>
      <c r="E9" s="41" t="s">
        <v>158</v>
      </c>
    </row>
    <row r="10" spans="1:5" ht="12.75">
      <c r="A10">
        <f>1</f>
        <v>1</v>
      </c>
      <c r="B10" s="39">
        <f>C6</f>
        <v>-5</v>
      </c>
      <c r="C10" s="40">
        <f>IF(A10&lt;&gt;"",POWER(10,B10/20),"")</f>
        <v>0.5623413251903491</v>
      </c>
      <c r="D10" s="44">
        <f>IF(A10&lt;&gt;"",ROUND(C$4/C10,0),"")</f>
        <v>99939</v>
      </c>
      <c r="E10" s="45">
        <f aca="true" t="shared" si="0" ref="E10:E34">IF($A10&lt;&gt;"",IF(D10&lt;&gt;0,IF(D10&lt;(ROUND(10^(INT(96*LOG10(D10))/96),2-INT(LOG10(D10)))+ROUND(10^(INT(96*LOG10(D10)+1)/96),2-INT(LOG10(D10))))/2,ROUND(10^(INT(96*LOG10(D10))/96),2-INT(LOG10(D10))),ROUND(10^(INT(96*LOG10(D10)+1)/96),2-INT(LOG10(D10)))),0)," ")</f>
        <v>100000</v>
      </c>
    </row>
    <row r="11" spans="1:5" ht="12.75">
      <c r="A11">
        <f>IF(A10&lt;&gt;"",IF(A10+1&lt;=C$7,A10+1,""),"")</f>
        <v>2</v>
      </c>
      <c r="B11" s="39">
        <f>IF(A11&lt;&gt;"",B10+(C$5-C$6)/(C$7-1),"")</f>
        <v>-4</v>
      </c>
      <c r="C11" s="40">
        <f aca="true" t="shared" si="1" ref="C11:C33">IF(A11&lt;&gt;"",POWER(10,B11/20),"")</f>
        <v>0.6309573444801932</v>
      </c>
      <c r="D11" s="44">
        <f aca="true" t="shared" si="2" ref="D11:D34">IF(A11&lt;&gt;"",ROUND(C$4/C11,0),"")</f>
        <v>89071</v>
      </c>
      <c r="E11" s="45">
        <f t="shared" si="0"/>
        <v>88700</v>
      </c>
    </row>
    <row r="12" spans="1:5" ht="12.75">
      <c r="A12">
        <f aca="true" t="shared" si="3" ref="A12:A33">IF(A11&lt;&gt;"",IF(A11+1&lt;=C$7,A11+1,""),"")</f>
        <v>3</v>
      </c>
      <c r="B12" s="39">
        <f aca="true" t="shared" si="4" ref="B12:B33">IF(A12&lt;&gt;"",B11+(C$5-C$6)/(C$7-1),"")</f>
        <v>-3</v>
      </c>
      <c r="C12" s="40">
        <f t="shared" si="1"/>
        <v>0.7079457843841379</v>
      </c>
      <c r="D12" s="44">
        <f t="shared" si="2"/>
        <v>79385</v>
      </c>
      <c r="E12" s="45">
        <f>IF($A12&lt;&gt;"",IF(D12&lt;&gt;0,IF(D12&lt;(ROUND(10^(INT(96*LOG10(D12))/96),2-INT(LOG10(D12)))+ROUND(10^(INT(96*LOG10(D12)+1)/96),2-INT(LOG10(D12))))/2,ROUND(10^(INT(96*LOG10(D12))/96),2-INT(LOG10(D12))),ROUND(10^(INT(96*LOG10(D12)+1)/96),2-INT(LOG10(D12)))),0)," ")</f>
        <v>78700</v>
      </c>
    </row>
    <row r="13" spans="1:5" ht="12.75">
      <c r="A13">
        <f t="shared" si="3"/>
        <v>4</v>
      </c>
      <c r="B13" s="39">
        <f t="shared" si="4"/>
        <v>-2</v>
      </c>
      <c r="C13" s="40">
        <f t="shared" si="1"/>
        <v>0.7943282347242815</v>
      </c>
      <c r="D13" s="44">
        <f t="shared" si="2"/>
        <v>70752</v>
      </c>
      <c r="E13" s="45">
        <f t="shared" si="0"/>
        <v>71500</v>
      </c>
    </row>
    <row r="14" spans="1:5" ht="12.75">
      <c r="A14">
        <f t="shared" si="3"/>
        <v>5</v>
      </c>
      <c r="B14" s="39">
        <f t="shared" si="4"/>
        <v>-1</v>
      </c>
      <c r="C14" s="40">
        <f t="shared" si="1"/>
        <v>0.8912509381337455</v>
      </c>
      <c r="D14" s="44">
        <f t="shared" si="2"/>
        <v>63057</v>
      </c>
      <c r="E14" s="45">
        <f t="shared" si="0"/>
        <v>63400</v>
      </c>
    </row>
    <row r="15" spans="1:5" ht="12.75">
      <c r="A15">
        <f t="shared" si="3"/>
        <v>6</v>
      </c>
      <c r="B15" s="39">
        <f t="shared" si="4"/>
        <v>0</v>
      </c>
      <c r="C15" s="40">
        <f t="shared" si="1"/>
        <v>1</v>
      </c>
      <c r="D15" s="44">
        <f t="shared" si="2"/>
        <v>56200</v>
      </c>
      <c r="E15" s="45">
        <f t="shared" si="0"/>
        <v>56200</v>
      </c>
    </row>
    <row r="16" spans="1:5" ht="12.75">
      <c r="A16">
        <f t="shared" si="3"/>
        <v>7</v>
      </c>
      <c r="B16" s="39">
        <f t="shared" si="4"/>
        <v>1</v>
      </c>
      <c r="C16" s="40">
        <f t="shared" si="1"/>
        <v>1.1220184543019636</v>
      </c>
      <c r="D16" s="44">
        <f t="shared" si="2"/>
        <v>50088</v>
      </c>
      <c r="E16" s="45">
        <f t="shared" si="0"/>
        <v>49900</v>
      </c>
    </row>
    <row r="17" spans="1:5" ht="12.75">
      <c r="A17">
        <f t="shared" si="3"/>
        <v>8</v>
      </c>
      <c r="B17" s="39">
        <f t="shared" si="4"/>
        <v>2</v>
      </c>
      <c r="C17" s="40">
        <f t="shared" si="1"/>
        <v>1.2589254117941673</v>
      </c>
      <c r="D17" s="44">
        <f t="shared" si="2"/>
        <v>44641</v>
      </c>
      <c r="E17" s="45">
        <f t="shared" si="0"/>
        <v>44200</v>
      </c>
    </row>
    <row r="18" spans="1:5" ht="12.75">
      <c r="A18">
        <f t="shared" si="3"/>
        <v>9</v>
      </c>
      <c r="B18" s="39">
        <f t="shared" si="4"/>
        <v>3</v>
      </c>
      <c r="C18" s="40">
        <f t="shared" si="1"/>
        <v>1.4125375446227544</v>
      </c>
      <c r="D18" s="44">
        <f t="shared" si="2"/>
        <v>39787</v>
      </c>
      <c r="E18" s="45">
        <f t="shared" si="0"/>
        <v>40200</v>
      </c>
    </row>
    <row r="19" spans="1:5" ht="12.75">
      <c r="A19">
        <f t="shared" si="3"/>
        <v>10</v>
      </c>
      <c r="B19" s="39">
        <f t="shared" si="4"/>
        <v>4</v>
      </c>
      <c r="C19" s="40">
        <f t="shared" si="1"/>
        <v>1.5848931924611136</v>
      </c>
      <c r="D19" s="44">
        <f t="shared" si="2"/>
        <v>35460</v>
      </c>
      <c r="E19" s="45">
        <f t="shared" si="0"/>
        <v>35700</v>
      </c>
    </row>
    <row r="20" spans="1:5" ht="12.75">
      <c r="A20">
        <f t="shared" si="3"/>
        <v>11</v>
      </c>
      <c r="B20" s="39">
        <f t="shared" si="4"/>
        <v>5</v>
      </c>
      <c r="C20" s="40">
        <f t="shared" si="1"/>
        <v>1.778279410038923</v>
      </c>
      <c r="D20" s="44">
        <f t="shared" si="2"/>
        <v>31604</v>
      </c>
      <c r="E20" s="45">
        <f t="shared" si="0"/>
        <v>31600</v>
      </c>
    </row>
    <row r="21" spans="1:5" ht="12.75">
      <c r="A21">
        <f t="shared" si="3"/>
      </c>
      <c r="B21" s="39">
        <f t="shared" si="4"/>
      </c>
      <c r="C21" s="40">
        <f t="shared" si="1"/>
      </c>
      <c r="D21" s="44">
        <f t="shared" si="2"/>
      </c>
      <c r="E21" s="45" t="str">
        <f t="shared" si="0"/>
        <v> </v>
      </c>
    </row>
    <row r="22" spans="1:5" ht="12.75">
      <c r="A22">
        <f t="shared" si="3"/>
      </c>
      <c r="B22" s="39">
        <f t="shared" si="4"/>
      </c>
      <c r="C22" s="40">
        <f t="shared" si="1"/>
      </c>
      <c r="D22" s="44">
        <f t="shared" si="2"/>
      </c>
      <c r="E22" s="45" t="str">
        <f t="shared" si="0"/>
        <v> </v>
      </c>
    </row>
    <row r="23" spans="1:5" ht="12.75">
      <c r="A23">
        <f t="shared" si="3"/>
      </c>
      <c r="B23" s="39">
        <f t="shared" si="4"/>
      </c>
      <c r="C23" s="40">
        <f t="shared" si="1"/>
      </c>
      <c r="D23" s="44">
        <f t="shared" si="2"/>
      </c>
      <c r="E23" s="45" t="str">
        <f t="shared" si="0"/>
        <v> </v>
      </c>
    </row>
    <row r="24" spans="1:5" ht="12.75">
      <c r="A24">
        <f t="shared" si="3"/>
      </c>
      <c r="B24" s="39">
        <f t="shared" si="4"/>
      </c>
      <c r="C24" s="40">
        <f t="shared" si="1"/>
      </c>
      <c r="D24" s="44">
        <f t="shared" si="2"/>
      </c>
      <c r="E24" s="45" t="str">
        <f t="shared" si="0"/>
        <v> </v>
      </c>
    </row>
    <row r="25" spans="1:5" ht="12.75">
      <c r="A25">
        <f t="shared" si="3"/>
      </c>
      <c r="B25" s="39">
        <f t="shared" si="4"/>
      </c>
      <c r="C25" s="40">
        <f t="shared" si="1"/>
      </c>
      <c r="D25" s="44">
        <f t="shared" si="2"/>
      </c>
      <c r="E25" s="45" t="str">
        <f t="shared" si="0"/>
        <v> </v>
      </c>
    </row>
    <row r="26" spans="1:5" ht="12.75">
      <c r="A26">
        <f t="shared" si="3"/>
      </c>
      <c r="B26" s="39">
        <f t="shared" si="4"/>
      </c>
      <c r="C26" s="40">
        <f t="shared" si="1"/>
      </c>
      <c r="D26" s="44">
        <f t="shared" si="2"/>
      </c>
      <c r="E26" s="45" t="str">
        <f t="shared" si="0"/>
        <v> </v>
      </c>
    </row>
    <row r="27" spans="1:5" ht="12.75">
      <c r="A27">
        <f t="shared" si="3"/>
      </c>
      <c r="B27" s="39">
        <f t="shared" si="4"/>
      </c>
      <c r="C27" s="40">
        <f t="shared" si="1"/>
      </c>
      <c r="D27" s="44">
        <f t="shared" si="2"/>
      </c>
      <c r="E27" s="45" t="str">
        <f t="shared" si="0"/>
        <v> </v>
      </c>
    </row>
    <row r="28" spans="1:5" ht="12.75">
      <c r="A28">
        <f t="shared" si="3"/>
      </c>
      <c r="B28" s="39">
        <f t="shared" si="4"/>
      </c>
      <c r="C28" s="40">
        <f t="shared" si="1"/>
      </c>
      <c r="D28" s="44">
        <f t="shared" si="2"/>
      </c>
      <c r="E28" s="45" t="str">
        <f t="shared" si="0"/>
        <v> </v>
      </c>
    </row>
    <row r="29" spans="1:5" ht="12.75">
      <c r="A29">
        <f t="shared" si="3"/>
      </c>
      <c r="B29" s="39">
        <f t="shared" si="4"/>
      </c>
      <c r="C29" s="40">
        <f t="shared" si="1"/>
      </c>
      <c r="D29" s="44">
        <f t="shared" si="2"/>
      </c>
      <c r="E29" s="45" t="str">
        <f t="shared" si="0"/>
        <v> </v>
      </c>
    </row>
    <row r="30" spans="1:5" ht="12.75">
      <c r="A30">
        <f t="shared" si="3"/>
      </c>
      <c r="B30" s="39">
        <f t="shared" si="4"/>
      </c>
      <c r="C30" s="40">
        <f t="shared" si="1"/>
      </c>
      <c r="D30" s="44">
        <f t="shared" si="2"/>
      </c>
      <c r="E30" s="45" t="str">
        <f t="shared" si="0"/>
        <v> </v>
      </c>
    </row>
    <row r="31" spans="1:5" ht="12.75">
      <c r="A31">
        <f t="shared" si="3"/>
      </c>
      <c r="B31" s="39">
        <f t="shared" si="4"/>
      </c>
      <c r="C31" s="40">
        <f t="shared" si="1"/>
      </c>
      <c r="D31" s="44">
        <f t="shared" si="2"/>
      </c>
      <c r="E31" s="45" t="str">
        <f t="shared" si="0"/>
        <v> </v>
      </c>
    </row>
    <row r="32" spans="1:5" ht="12.75">
      <c r="A32">
        <f t="shared" si="3"/>
      </c>
      <c r="B32" s="39">
        <f t="shared" si="4"/>
      </c>
      <c r="C32" s="40">
        <f t="shared" si="1"/>
      </c>
      <c r="D32" s="44">
        <f t="shared" si="2"/>
      </c>
      <c r="E32" s="45" t="str">
        <f t="shared" si="0"/>
        <v> </v>
      </c>
    </row>
    <row r="33" spans="1:5" ht="12.75">
      <c r="A33">
        <f t="shared" si="3"/>
      </c>
      <c r="B33" s="39">
        <f t="shared" si="4"/>
      </c>
      <c r="C33" s="40">
        <f t="shared" si="1"/>
      </c>
      <c r="D33" s="44">
        <f t="shared" si="2"/>
      </c>
      <c r="E33" s="45" t="str">
        <f t="shared" si="0"/>
        <v> </v>
      </c>
    </row>
    <row r="34" spans="1:5" ht="12.75">
      <c r="A34">
        <f>IF(A33&lt;&gt;"",IF(A33+1&lt;=C$7,A33+1,""),"")</f>
      </c>
      <c r="B34" s="39">
        <f>IF(A34&lt;&gt;"",B33+(C$5-C$6)/(C$7-1),"")</f>
      </c>
      <c r="C34" s="40">
        <f>IF(A34&lt;&gt;"",POWER(10,B34/20),"")</f>
      </c>
      <c r="D34" s="44">
        <f t="shared" si="2"/>
      </c>
      <c r="E34" s="45" t="str">
        <f t="shared" si="0"/>
        <v> </v>
      </c>
    </row>
    <row r="36" ht="12.75">
      <c r="A36" t="s">
        <v>143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B20" sqref="B20"/>
    </sheetView>
  </sheetViews>
  <sheetFormatPr defaultColWidth="11.421875" defaultRowHeight="12.75"/>
  <cols>
    <col min="1" max="1" width="12.7109375" style="0" customWidth="1"/>
    <col min="2" max="2" width="18.00390625" style="0" customWidth="1"/>
    <col min="4" max="4" width="15.8515625" style="0" customWidth="1"/>
    <col min="5" max="6" width="18.7109375" style="0" customWidth="1"/>
    <col min="7" max="7" width="12.57421875" style="0" customWidth="1"/>
    <col min="11" max="11" width="13.140625" style="0" customWidth="1"/>
  </cols>
  <sheetData>
    <row r="1" ht="12.75">
      <c r="A1" s="46" t="s">
        <v>129</v>
      </c>
    </row>
    <row r="3" ht="12.75">
      <c r="A3" t="s">
        <v>159</v>
      </c>
    </row>
    <row r="4" ht="12.75">
      <c r="A4" t="s">
        <v>160</v>
      </c>
    </row>
    <row r="5" ht="12.75">
      <c r="A5" t="s">
        <v>161</v>
      </c>
    </row>
    <row r="7" ht="12.75">
      <c r="B7" s="47" t="s">
        <v>142</v>
      </c>
    </row>
    <row r="8" spans="1:4" ht="12.75">
      <c r="A8" t="s">
        <v>130</v>
      </c>
      <c r="B8" t="s">
        <v>21</v>
      </c>
      <c r="C8" s="42">
        <v>56200</v>
      </c>
      <c r="D8" t="s">
        <v>162</v>
      </c>
    </row>
    <row r="9" spans="1:4" ht="12.75">
      <c r="A9" t="s">
        <v>131</v>
      </c>
      <c r="B9" t="s">
        <v>132</v>
      </c>
      <c r="C9" s="42">
        <v>5</v>
      </c>
      <c r="D9" t="s">
        <v>133</v>
      </c>
    </row>
    <row r="10" spans="1:4" ht="12.75">
      <c r="A10" t="s">
        <v>134</v>
      </c>
      <c r="B10" t="s">
        <v>135</v>
      </c>
      <c r="C10" s="42">
        <v>-5</v>
      </c>
      <c r="D10" t="s">
        <v>133</v>
      </c>
    </row>
    <row r="11" spans="1:4" ht="12.75">
      <c r="A11" t="s">
        <v>136</v>
      </c>
      <c r="C11" s="42">
        <v>11</v>
      </c>
      <c r="D11" t="s">
        <v>138</v>
      </c>
    </row>
    <row r="12" spans="1:4" ht="12.75">
      <c r="A12" t="s">
        <v>163</v>
      </c>
      <c r="C12" s="42">
        <v>-6</v>
      </c>
      <c r="D12" t="s">
        <v>164</v>
      </c>
    </row>
    <row r="13" spans="1:7" ht="12.75">
      <c r="A13" s="48" t="s">
        <v>165</v>
      </c>
      <c r="C13" s="44">
        <f>ROUND(C8/POWER(10,C12/20),0)</f>
        <v>112134</v>
      </c>
      <c r="D13" t="s">
        <v>157</v>
      </c>
      <c r="E13" s="49" t="s">
        <v>166</v>
      </c>
      <c r="F13" s="48">
        <f>IF($C13&lt;&gt;"",IF(C13&lt;&gt;0,IF(C13&lt;(ROUND(10^(INT(96*LOG10(C13))/96),2-INT(LOG10(C13)))+ROUND(10^(INT(96*LOG10(C13)+1)/96),2-INT(LOG10(C13))))/2,ROUND(10^(INT(96*LOG10(C13))/96),2-INT(LOG10(C13))),ROUND(10^(INT(96*LOG10(C13)+1)/96),2-INT(LOG10(C13)))),0)," ")</f>
        <v>113000</v>
      </c>
      <c r="G13" t="s">
        <v>157</v>
      </c>
    </row>
    <row r="14" spans="1:6" ht="38.25">
      <c r="A14" s="38" t="s">
        <v>137</v>
      </c>
      <c r="B14" s="41" t="s">
        <v>139</v>
      </c>
      <c r="C14" s="41" t="s">
        <v>140</v>
      </c>
      <c r="D14" s="41" t="s">
        <v>141</v>
      </c>
      <c r="E14" s="41" t="s">
        <v>167</v>
      </c>
      <c r="F14" s="41" t="s">
        <v>168</v>
      </c>
    </row>
    <row r="15" spans="1:6" ht="12.75">
      <c r="A15">
        <f>1</f>
        <v>1</v>
      </c>
      <c r="B15" s="39">
        <f>C10</f>
        <v>-5</v>
      </c>
      <c r="C15" s="40">
        <f>IF(A15&lt;&gt;"",POWER(10,B15/20),"")</f>
        <v>0.5623413251903491</v>
      </c>
      <c r="D15" s="44">
        <f>IF(A15&lt;&gt;"",ROUND(C$8/C15,0),"")</f>
        <v>99939</v>
      </c>
      <c r="E15" s="44">
        <f>IF(A15&lt;&gt;"",IF(C$12&lt;B15,ROUND(1/(1/D15-1/F$13),0),"open"),"")</f>
        <v>864643</v>
      </c>
      <c r="F15" s="45">
        <f aca="true" t="shared" si="0" ref="F15:F39">IF($A15&lt;&gt;"",IF(E15&lt;&gt;0,IF(E15&lt;(ROUND(10^(INT(96*LOG10(E15))/96),2-INT(LOG10(E15)))+ROUND(10^(INT(96*LOG10(E15)+1)/96),2-INT(LOG10(E15))))/2,ROUND(10^(INT(96*LOG10(E15))/96),2-INT(LOG10(E15))),ROUND(10^(INT(96*LOG10(E15)+1)/96),2-INT(LOG10(E15)))),0)," ")</f>
        <v>866000</v>
      </c>
    </row>
    <row r="16" spans="1:6" ht="12.75">
      <c r="A16">
        <f>IF(A15&lt;&gt;"",IF(A15+1&lt;=C$11,A15+1,""),"")</f>
        <v>2</v>
      </c>
      <c r="B16" s="39">
        <f>IF(A16&lt;&gt;"",B15+(C$9-C$10)/(C$11-1),"")</f>
        <v>-4</v>
      </c>
      <c r="C16" s="40">
        <f aca="true" t="shared" si="1" ref="C16:C39">IF(A16&lt;&gt;"",POWER(10,B16/20),"")</f>
        <v>0.6309573444801932</v>
      </c>
      <c r="D16" s="44">
        <f aca="true" t="shared" si="2" ref="D16:D39">IF(A16&lt;&gt;"",ROUND(C$8/C16,0),"")</f>
        <v>89071</v>
      </c>
      <c r="E16" s="44">
        <f aca="true" t="shared" si="3" ref="E16:E39">IF(A16&lt;&gt;"",IF(C$12&lt;B16,ROUND(1/(1/D16-1/F$13),0),"open"),"")</f>
        <v>420620</v>
      </c>
      <c r="F16" s="45">
        <f t="shared" si="0"/>
        <v>422000</v>
      </c>
    </row>
    <row r="17" spans="1:9" ht="12.75">
      <c r="A17">
        <f aca="true" t="shared" si="4" ref="A17:A39">IF(A16&lt;&gt;"",IF(A16+1&lt;=C$11,A16+1,""),"")</f>
        <v>3</v>
      </c>
      <c r="B17" s="39">
        <f aca="true" t="shared" si="5" ref="B17:B39">IF(A17&lt;&gt;"",B16+(C$9-C$10)/(C$11-1),"")</f>
        <v>-3</v>
      </c>
      <c r="C17" s="40">
        <f t="shared" si="1"/>
        <v>0.7079457843841379</v>
      </c>
      <c r="D17" s="44">
        <f t="shared" si="2"/>
        <v>79385</v>
      </c>
      <c r="E17" s="44">
        <f t="shared" si="3"/>
        <v>266860</v>
      </c>
      <c r="F17" s="45">
        <f>IF($A17&lt;&gt;"",IF(E17&lt;&gt;0,IF(E17&lt;(ROUND(10^(INT(96*LOG10(E17))/96),2-INT(LOG10(E17)))+ROUND(10^(INT(96*LOG10(E17)+1)/96),2-INT(LOG10(E17))))/2,ROUND(10^(INT(96*LOG10(E17))/96),2-INT(LOG10(E17))),ROUND(10^(INT(96*LOG10(E17)+1)/96),2-INT(LOG10(E17)))),0)," ")</f>
        <v>267000</v>
      </c>
      <c r="I17" s="50" t="s">
        <v>165</v>
      </c>
    </row>
    <row r="18" spans="1:6" ht="12.75">
      <c r="A18">
        <f t="shared" si="4"/>
        <v>4</v>
      </c>
      <c r="B18" s="39">
        <f t="shared" si="5"/>
        <v>-2</v>
      </c>
      <c r="C18" s="40">
        <f t="shared" si="1"/>
        <v>0.7943282347242815</v>
      </c>
      <c r="D18" s="44">
        <f t="shared" si="2"/>
        <v>70752</v>
      </c>
      <c r="E18" s="44">
        <f t="shared" si="3"/>
        <v>189239</v>
      </c>
      <c r="F18" s="45">
        <f t="shared" si="0"/>
        <v>191000</v>
      </c>
    </row>
    <row r="19" spans="1:6" ht="12.75">
      <c r="A19">
        <f t="shared" si="4"/>
        <v>5</v>
      </c>
      <c r="B19" s="39">
        <f t="shared" si="5"/>
        <v>-1</v>
      </c>
      <c r="C19" s="40">
        <f t="shared" si="1"/>
        <v>0.8912509381337455</v>
      </c>
      <c r="D19" s="44">
        <f t="shared" si="2"/>
        <v>63057</v>
      </c>
      <c r="E19" s="44">
        <f t="shared" si="3"/>
        <v>142671</v>
      </c>
      <c r="F19" s="45">
        <f t="shared" si="0"/>
        <v>143000</v>
      </c>
    </row>
    <row r="20" spans="1:6" ht="12.75">
      <c r="A20">
        <f t="shared" si="4"/>
        <v>6</v>
      </c>
      <c r="B20" s="39">
        <f t="shared" si="5"/>
        <v>0</v>
      </c>
      <c r="C20" s="40">
        <f t="shared" si="1"/>
        <v>1</v>
      </c>
      <c r="D20" s="44">
        <f t="shared" si="2"/>
        <v>56200</v>
      </c>
      <c r="E20" s="44">
        <f t="shared" si="3"/>
        <v>111806</v>
      </c>
      <c r="F20" s="45">
        <f t="shared" si="0"/>
        <v>113000</v>
      </c>
    </row>
    <row r="21" spans="1:9" ht="12.75">
      <c r="A21">
        <f t="shared" si="4"/>
        <v>7</v>
      </c>
      <c r="B21" s="39">
        <f t="shared" si="5"/>
        <v>1</v>
      </c>
      <c r="C21" s="40">
        <f t="shared" si="1"/>
        <v>1.1220184543019636</v>
      </c>
      <c r="D21" s="44">
        <f t="shared" si="2"/>
        <v>50088</v>
      </c>
      <c r="E21" s="44">
        <f t="shared" si="3"/>
        <v>89966</v>
      </c>
      <c r="F21" s="45">
        <f t="shared" si="0"/>
        <v>90900</v>
      </c>
      <c r="I21" s="21" t="s">
        <v>169</v>
      </c>
    </row>
    <row r="22" spans="1:7" ht="12.75">
      <c r="A22">
        <f t="shared" si="4"/>
        <v>8</v>
      </c>
      <c r="B22" s="39">
        <f t="shared" si="5"/>
        <v>2</v>
      </c>
      <c r="C22" s="40">
        <f t="shared" si="1"/>
        <v>1.2589254117941673</v>
      </c>
      <c r="D22" s="44">
        <f t="shared" si="2"/>
        <v>44641</v>
      </c>
      <c r="E22" s="44">
        <f t="shared" si="3"/>
        <v>73793</v>
      </c>
      <c r="F22" s="45">
        <f t="shared" si="0"/>
        <v>73200</v>
      </c>
      <c r="G22" s="51" t="s">
        <v>170</v>
      </c>
    </row>
    <row r="23" spans="1:11" ht="12.75">
      <c r="A23">
        <f t="shared" si="4"/>
        <v>9</v>
      </c>
      <c r="B23" s="39">
        <f t="shared" si="5"/>
        <v>3</v>
      </c>
      <c r="C23" s="40">
        <f t="shared" si="1"/>
        <v>1.4125375446227544</v>
      </c>
      <c r="D23" s="44">
        <f t="shared" si="2"/>
        <v>39787</v>
      </c>
      <c r="E23" s="44">
        <f t="shared" si="3"/>
        <v>61409</v>
      </c>
      <c r="F23" s="45">
        <f t="shared" si="0"/>
        <v>61900</v>
      </c>
      <c r="K23" t="s">
        <v>171</v>
      </c>
    </row>
    <row r="24" spans="1:6" ht="12.75">
      <c r="A24">
        <f t="shared" si="4"/>
        <v>10</v>
      </c>
      <c r="B24" s="39">
        <f t="shared" si="5"/>
        <v>4</v>
      </c>
      <c r="C24" s="40">
        <f t="shared" si="1"/>
        <v>1.5848931924611136</v>
      </c>
      <c r="D24" s="44">
        <f t="shared" si="2"/>
        <v>35460</v>
      </c>
      <c r="E24" s="44">
        <f t="shared" si="3"/>
        <v>51676</v>
      </c>
      <c r="F24" s="45">
        <f t="shared" si="0"/>
        <v>51100</v>
      </c>
    </row>
    <row r="25" spans="1:6" ht="12.75">
      <c r="A25">
        <f t="shared" si="4"/>
        <v>11</v>
      </c>
      <c r="B25" s="39">
        <f t="shared" si="5"/>
        <v>5</v>
      </c>
      <c r="C25" s="40">
        <f t="shared" si="1"/>
        <v>1.778279410038923</v>
      </c>
      <c r="D25" s="44">
        <f t="shared" si="2"/>
        <v>31604</v>
      </c>
      <c r="E25" s="44">
        <f t="shared" si="3"/>
        <v>43875</v>
      </c>
      <c r="F25" s="45">
        <f t="shared" si="0"/>
        <v>44200</v>
      </c>
    </row>
    <row r="26" spans="1:6" ht="12.75">
      <c r="A26">
        <f t="shared" si="4"/>
      </c>
      <c r="B26" s="39">
        <f t="shared" si="5"/>
      </c>
      <c r="C26" s="40">
        <f t="shared" si="1"/>
      </c>
      <c r="D26" s="44">
        <f t="shared" si="2"/>
      </c>
      <c r="E26" s="44">
        <f t="shared" si="3"/>
      </c>
      <c r="F26" s="45" t="str">
        <f t="shared" si="0"/>
        <v> </v>
      </c>
    </row>
    <row r="27" spans="1:6" ht="12.75">
      <c r="A27">
        <f t="shared" si="4"/>
      </c>
      <c r="B27" s="39">
        <f t="shared" si="5"/>
      </c>
      <c r="C27" s="40">
        <f t="shared" si="1"/>
      </c>
      <c r="D27" s="44">
        <f t="shared" si="2"/>
      </c>
      <c r="E27" s="44">
        <f t="shared" si="3"/>
      </c>
      <c r="F27" s="45" t="str">
        <f t="shared" si="0"/>
        <v> </v>
      </c>
    </row>
    <row r="28" spans="1:6" ht="12.75">
      <c r="A28">
        <f t="shared" si="4"/>
      </c>
      <c r="B28" s="39">
        <f t="shared" si="5"/>
      </c>
      <c r="C28" s="40">
        <f t="shared" si="1"/>
      </c>
      <c r="D28" s="44">
        <f t="shared" si="2"/>
      </c>
      <c r="E28" s="44">
        <f t="shared" si="3"/>
      </c>
      <c r="F28" s="45" t="str">
        <f t="shared" si="0"/>
        <v> </v>
      </c>
    </row>
    <row r="29" spans="1:6" ht="12.75">
      <c r="A29">
        <f t="shared" si="4"/>
      </c>
      <c r="B29" s="39">
        <f t="shared" si="5"/>
      </c>
      <c r="C29" s="40">
        <f t="shared" si="1"/>
      </c>
      <c r="D29" s="44">
        <f t="shared" si="2"/>
      </c>
      <c r="E29" s="44">
        <f t="shared" si="3"/>
      </c>
      <c r="F29" s="45" t="str">
        <f t="shared" si="0"/>
        <v> </v>
      </c>
    </row>
    <row r="30" spans="1:6" ht="12.75">
      <c r="A30">
        <f t="shared" si="4"/>
      </c>
      <c r="B30" s="39">
        <f t="shared" si="5"/>
      </c>
      <c r="C30" s="40">
        <f t="shared" si="1"/>
      </c>
      <c r="D30" s="44">
        <f t="shared" si="2"/>
      </c>
      <c r="E30" s="44">
        <f t="shared" si="3"/>
      </c>
      <c r="F30" s="45" t="str">
        <f t="shared" si="0"/>
        <v> </v>
      </c>
    </row>
    <row r="31" spans="1:6" ht="12.75">
      <c r="A31">
        <f t="shared" si="4"/>
      </c>
      <c r="B31" s="39">
        <f t="shared" si="5"/>
      </c>
      <c r="C31" s="40">
        <f t="shared" si="1"/>
      </c>
      <c r="D31" s="44">
        <f t="shared" si="2"/>
      </c>
      <c r="E31" s="44">
        <f t="shared" si="3"/>
      </c>
      <c r="F31" s="45" t="str">
        <f t="shared" si="0"/>
        <v> </v>
      </c>
    </row>
    <row r="32" spans="1:6" ht="12.75">
      <c r="A32">
        <f t="shared" si="4"/>
      </c>
      <c r="B32" s="39">
        <f t="shared" si="5"/>
      </c>
      <c r="C32" s="40">
        <f t="shared" si="1"/>
      </c>
      <c r="D32" s="44">
        <f t="shared" si="2"/>
      </c>
      <c r="E32" s="44">
        <f t="shared" si="3"/>
      </c>
      <c r="F32" s="45" t="str">
        <f t="shared" si="0"/>
        <v> </v>
      </c>
    </row>
    <row r="33" spans="1:6" ht="12.75">
      <c r="A33">
        <f t="shared" si="4"/>
      </c>
      <c r="B33" s="39">
        <f t="shared" si="5"/>
      </c>
      <c r="C33" s="40">
        <f t="shared" si="1"/>
      </c>
      <c r="D33" s="44">
        <f t="shared" si="2"/>
      </c>
      <c r="E33" s="44">
        <f t="shared" si="3"/>
      </c>
      <c r="F33" s="45" t="str">
        <f t="shared" si="0"/>
        <v> </v>
      </c>
    </row>
    <row r="34" spans="1:6" ht="12.75">
      <c r="A34">
        <f t="shared" si="4"/>
      </c>
      <c r="B34" s="39">
        <f t="shared" si="5"/>
      </c>
      <c r="C34" s="40">
        <f t="shared" si="1"/>
      </c>
      <c r="D34" s="44">
        <f t="shared" si="2"/>
      </c>
      <c r="E34" s="44">
        <f t="shared" si="3"/>
      </c>
      <c r="F34" s="45" t="str">
        <f t="shared" si="0"/>
        <v> </v>
      </c>
    </row>
    <row r="35" spans="1:6" ht="12.75">
      <c r="A35">
        <f t="shared" si="4"/>
      </c>
      <c r="B35" s="39">
        <f t="shared" si="5"/>
      </c>
      <c r="C35" s="40">
        <f t="shared" si="1"/>
      </c>
      <c r="D35" s="44">
        <f t="shared" si="2"/>
      </c>
      <c r="E35" s="44">
        <f t="shared" si="3"/>
      </c>
      <c r="F35" s="45" t="str">
        <f t="shared" si="0"/>
        <v> </v>
      </c>
    </row>
    <row r="36" spans="1:6" ht="12.75">
      <c r="A36">
        <f t="shared" si="4"/>
      </c>
      <c r="B36" s="39">
        <f t="shared" si="5"/>
      </c>
      <c r="C36" s="40">
        <f t="shared" si="1"/>
      </c>
      <c r="D36" s="44">
        <f t="shared" si="2"/>
      </c>
      <c r="E36" s="44">
        <f t="shared" si="3"/>
      </c>
      <c r="F36" s="45" t="str">
        <f t="shared" si="0"/>
        <v> </v>
      </c>
    </row>
    <row r="37" spans="1:6" ht="12.75">
      <c r="A37">
        <f t="shared" si="4"/>
      </c>
      <c r="B37" s="39">
        <f t="shared" si="5"/>
      </c>
      <c r="C37" s="40">
        <f t="shared" si="1"/>
      </c>
      <c r="D37" s="44">
        <f t="shared" si="2"/>
      </c>
      <c r="E37" s="44">
        <f t="shared" si="3"/>
      </c>
      <c r="F37" s="45" t="str">
        <f t="shared" si="0"/>
        <v> </v>
      </c>
    </row>
    <row r="38" spans="1:6" ht="12.75">
      <c r="A38">
        <f t="shared" si="4"/>
      </c>
      <c r="B38" s="39">
        <f t="shared" si="5"/>
      </c>
      <c r="C38" s="40">
        <f t="shared" si="1"/>
      </c>
      <c r="D38" s="44">
        <f t="shared" si="2"/>
      </c>
      <c r="E38" s="44">
        <f t="shared" si="3"/>
      </c>
      <c r="F38" s="45" t="str">
        <f t="shared" si="0"/>
        <v> </v>
      </c>
    </row>
    <row r="39" spans="1:6" ht="12.75">
      <c r="A39">
        <f t="shared" si="4"/>
      </c>
      <c r="B39" s="39">
        <f t="shared" si="5"/>
      </c>
      <c r="C39" s="40">
        <f t="shared" si="1"/>
      </c>
      <c r="D39" s="44">
        <f t="shared" si="2"/>
      </c>
      <c r="E39" s="44">
        <f t="shared" si="3"/>
      </c>
      <c r="F39" s="45" t="str">
        <f t="shared" si="0"/>
        <v> </v>
      </c>
    </row>
    <row r="41" ht="12.75">
      <c r="A41" t="s">
        <v>143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2"/>
  <sheetViews>
    <sheetView workbookViewId="0" topLeftCell="A1">
      <selection activeCell="A1" sqref="A1"/>
    </sheetView>
  </sheetViews>
  <sheetFormatPr defaultColWidth="11.421875" defaultRowHeight="12.75"/>
  <cols>
    <col min="1" max="1" width="20.140625" style="0" customWidth="1"/>
    <col min="2" max="2" width="12.421875" style="0" bestFit="1" customWidth="1"/>
  </cols>
  <sheetData>
    <row r="1" ht="12.75">
      <c r="A1" s="46" t="s">
        <v>45</v>
      </c>
    </row>
    <row r="3" ht="12.75">
      <c r="A3" s="33" t="s">
        <v>46</v>
      </c>
    </row>
    <row r="4" ht="12.75">
      <c r="A4" t="s">
        <v>108</v>
      </c>
    </row>
    <row r="6" ht="12.75">
      <c r="A6" t="s">
        <v>153</v>
      </c>
    </row>
    <row r="7" ht="12.75">
      <c r="A7" t="s">
        <v>106</v>
      </c>
    </row>
    <row r="9" ht="12.75">
      <c r="A9" s="33" t="s">
        <v>117</v>
      </c>
    </row>
    <row r="10" ht="12.75">
      <c r="A10" t="s">
        <v>155</v>
      </c>
    </row>
    <row r="11" ht="12.75">
      <c r="A11" t="s">
        <v>47</v>
      </c>
    </row>
    <row r="13" ht="12.75">
      <c r="A13" s="43" t="s">
        <v>154</v>
      </c>
    </row>
    <row r="14" ht="12.75">
      <c r="A14" t="s">
        <v>172</v>
      </c>
    </row>
    <row r="15" ht="12.75">
      <c r="A15" t="s">
        <v>173</v>
      </c>
    </row>
    <row r="16" ht="12.75">
      <c r="A16" t="s">
        <v>103</v>
      </c>
    </row>
    <row r="17" ht="12.75">
      <c r="A17" t="s">
        <v>107</v>
      </c>
    </row>
    <row r="18" ht="12.75">
      <c r="A18" t="s">
        <v>156</v>
      </c>
    </row>
    <row r="20" spans="1:2" ht="12.75">
      <c r="A20" t="s">
        <v>48</v>
      </c>
      <c r="B20" t="s">
        <v>55</v>
      </c>
    </row>
    <row r="21" ht="6.75" customHeight="1"/>
    <row r="22" ht="12.75">
      <c r="B22" t="s">
        <v>50</v>
      </c>
    </row>
    <row r="23" ht="12.75">
      <c r="B23" t="s">
        <v>49</v>
      </c>
    </row>
    <row r="24" ht="6.75" customHeight="1"/>
    <row r="25" ht="12.75">
      <c r="B25" t="s">
        <v>51</v>
      </c>
    </row>
    <row r="26" ht="12.75">
      <c r="B26" t="s">
        <v>52</v>
      </c>
    </row>
    <row r="27" ht="6.75" customHeight="1"/>
    <row r="28" ht="12.75">
      <c r="B28" t="s">
        <v>53</v>
      </c>
    </row>
    <row r="29" ht="12.75">
      <c r="B29" t="s">
        <v>178</v>
      </c>
    </row>
    <row r="30" ht="12.75">
      <c r="B30" t="s">
        <v>176</v>
      </c>
    </row>
    <row r="31" ht="6.75" customHeight="1"/>
    <row r="32" ht="12.75">
      <c r="B32" t="s">
        <v>150</v>
      </c>
    </row>
    <row r="34" spans="1:2" ht="12.75">
      <c r="A34" t="s">
        <v>54</v>
      </c>
      <c r="B34" t="s">
        <v>56</v>
      </c>
    </row>
    <row r="35" ht="12.75">
      <c r="B35" t="s">
        <v>57</v>
      </c>
    </row>
    <row r="36" ht="12.75">
      <c r="B36" t="s">
        <v>58</v>
      </c>
    </row>
    <row r="37" ht="6.75" customHeight="1"/>
    <row r="38" ht="12.75">
      <c r="B38" t="s">
        <v>59</v>
      </c>
    </row>
    <row r="39" ht="12.75">
      <c r="B39" t="s">
        <v>60</v>
      </c>
    </row>
    <row r="40" ht="6.75" customHeight="1"/>
    <row r="41" ht="12.75">
      <c r="B41" t="s">
        <v>174</v>
      </c>
    </row>
    <row r="42" ht="6.75" customHeight="1"/>
    <row r="43" spans="1:2" ht="12.75">
      <c r="A43" t="s">
        <v>61</v>
      </c>
      <c r="B43" t="s">
        <v>62</v>
      </c>
    </row>
    <row r="44" ht="12.75">
      <c r="B44" t="s">
        <v>63</v>
      </c>
    </row>
    <row r="45" ht="12.75">
      <c r="B45" t="s">
        <v>64</v>
      </c>
    </row>
    <row r="46" ht="6.75" customHeight="1"/>
    <row r="47" ht="12.75">
      <c r="B47" t="s">
        <v>65</v>
      </c>
    </row>
    <row r="48" ht="12.75">
      <c r="B48" t="s">
        <v>66</v>
      </c>
    </row>
    <row r="49" ht="6.75" customHeight="1"/>
    <row r="50" ht="12.75">
      <c r="B50" t="s">
        <v>175</v>
      </c>
    </row>
    <row r="51" ht="6.75" customHeight="1"/>
    <row r="52" spans="1:2" ht="12.75">
      <c r="A52" t="s">
        <v>67</v>
      </c>
      <c r="B52" t="s">
        <v>68</v>
      </c>
    </row>
    <row r="53" ht="12.75">
      <c r="B53" t="s">
        <v>69</v>
      </c>
    </row>
    <row r="54" ht="12.75">
      <c r="B54" t="s">
        <v>70</v>
      </c>
    </row>
    <row r="55" ht="6.75" customHeight="1"/>
    <row r="56" ht="12.75">
      <c r="B56" t="s">
        <v>71</v>
      </c>
    </row>
    <row r="57" ht="12.75">
      <c r="B57" t="s">
        <v>72</v>
      </c>
    </row>
    <row r="58" ht="6.75" customHeight="1"/>
    <row r="59" ht="12.75">
      <c r="B59" t="s">
        <v>177</v>
      </c>
    </row>
    <row r="60" ht="6.75" customHeight="1"/>
    <row r="61" spans="1:2" ht="12.75">
      <c r="A61" t="s">
        <v>73</v>
      </c>
      <c r="B61" t="s">
        <v>79</v>
      </c>
    </row>
    <row r="62" ht="12.75">
      <c r="B62" t="s">
        <v>74</v>
      </c>
    </row>
    <row r="63" ht="12.75">
      <c r="B63" t="s">
        <v>75</v>
      </c>
    </row>
    <row r="64" ht="6.75" customHeight="1"/>
    <row r="65" ht="12.75">
      <c r="B65" t="s">
        <v>76</v>
      </c>
    </row>
    <row r="66" ht="12.75">
      <c r="B66" t="s">
        <v>77</v>
      </c>
    </row>
    <row r="67" ht="6.75" customHeight="1"/>
    <row r="68" ht="12.75">
      <c r="B68" t="s">
        <v>78</v>
      </c>
    </row>
    <row r="69" ht="6.75" customHeight="1"/>
    <row r="70" spans="1:2" ht="12.75">
      <c r="A70" t="s">
        <v>83</v>
      </c>
      <c r="B70" t="s">
        <v>80</v>
      </c>
    </row>
    <row r="71" spans="1:2" ht="12.75">
      <c r="A71" t="s">
        <v>84</v>
      </c>
      <c r="B71" t="s">
        <v>81</v>
      </c>
    </row>
    <row r="72" ht="12.75">
      <c r="B72" t="s">
        <v>82</v>
      </c>
    </row>
    <row r="73" spans="1:2" ht="12.75">
      <c r="A73" t="s">
        <v>85</v>
      </c>
      <c r="B73" t="s">
        <v>89</v>
      </c>
    </row>
    <row r="74" ht="12.75">
      <c r="B74" t="s">
        <v>90</v>
      </c>
    </row>
    <row r="75" spans="1:2" ht="12.75">
      <c r="A75" t="s">
        <v>86</v>
      </c>
      <c r="B75" t="s">
        <v>91</v>
      </c>
    </row>
    <row r="76" ht="12.75">
      <c r="B76" t="s">
        <v>92</v>
      </c>
    </row>
    <row r="77" spans="1:2" ht="12.75">
      <c r="A77" t="s">
        <v>87</v>
      </c>
      <c r="B77" t="s">
        <v>93</v>
      </c>
    </row>
    <row r="78" ht="12.75">
      <c r="B78" t="s">
        <v>94</v>
      </c>
    </row>
    <row r="79" spans="1:2" ht="12.75">
      <c r="A79" t="s">
        <v>88</v>
      </c>
      <c r="B79" t="s">
        <v>95</v>
      </c>
    </row>
    <row r="80" ht="12.75">
      <c r="B80" t="s">
        <v>96</v>
      </c>
    </row>
    <row r="81" ht="6.75" customHeight="1"/>
    <row r="82" ht="12.75">
      <c r="B82" t="s">
        <v>152</v>
      </c>
    </row>
    <row r="83" ht="12.75">
      <c r="B83" t="s">
        <v>97</v>
      </c>
    </row>
    <row r="84" ht="12.75">
      <c r="B84" t="s">
        <v>98</v>
      </c>
    </row>
    <row r="85" ht="6.75" customHeight="1"/>
    <row r="86" ht="12.75">
      <c r="B86" t="s">
        <v>99</v>
      </c>
    </row>
    <row r="87" ht="12.75">
      <c r="B87" t="s">
        <v>127</v>
      </c>
    </row>
    <row r="89" ht="12.75">
      <c r="A89" s="33" t="s">
        <v>100</v>
      </c>
    </row>
    <row r="90" ht="12.75">
      <c r="A90" t="s">
        <v>101</v>
      </c>
    </row>
    <row r="91" ht="12.75">
      <c r="A91" t="s">
        <v>151</v>
      </c>
    </row>
    <row r="92" ht="12.75">
      <c r="A92" t="s">
        <v>102</v>
      </c>
    </row>
    <row r="93" ht="6.75" customHeight="1"/>
    <row r="94" ht="12.75">
      <c r="A94" t="s">
        <v>104</v>
      </c>
    </row>
    <row r="95" ht="12.75">
      <c r="A95" t="s">
        <v>105</v>
      </c>
    </row>
    <row r="97" ht="12.75">
      <c r="A97" s="33" t="s">
        <v>109</v>
      </c>
    </row>
    <row r="98" ht="12.75">
      <c r="A98" t="s">
        <v>110</v>
      </c>
    </row>
    <row r="99" ht="12.75">
      <c r="A99" t="s">
        <v>111</v>
      </c>
    </row>
    <row r="101" ht="12.75">
      <c r="A101" t="s">
        <v>112</v>
      </c>
    </row>
    <row r="102" ht="12.75">
      <c r="A102" t="s">
        <v>113</v>
      </c>
    </row>
    <row r="103" ht="12.75">
      <c r="A103" t="s">
        <v>114</v>
      </c>
    </row>
    <row r="105" ht="12.75">
      <c r="A105" s="33" t="s">
        <v>115</v>
      </c>
    </row>
    <row r="106" spans="1:2" ht="12.75">
      <c r="A106" t="s">
        <v>46</v>
      </c>
      <c r="B106" s="34">
        <v>-6.038</v>
      </c>
    </row>
    <row r="107" spans="1:2" ht="12.75">
      <c r="A107" t="s">
        <v>116</v>
      </c>
      <c r="B107" s="34">
        <v>-22.157</v>
      </c>
    </row>
    <row r="108" spans="1:2" ht="12.75">
      <c r="A108" t="s">
        <v>121</v>
      </c>
      <c r="B108" s="34">
        <v>12.308</v>
      </c>
    </row>
    <row r="109" spans="1:3" ht="12.75">
      <c r="A109" t="s">
        <v>126</v>
      </c>
      <c r="B109" s="34">
        <f>B108*0.5</f>
        <v>6.154</v>
      </c>
      <c r="C109" s="34"/>
    </row>
    <row r="110" spans="1:3" ht="12.75">
      <c r="A110" t="s">
        <v>125</v>
      </c>
      <c r="B110" s="34">
        <f>B109*0.5</f>
        <v>3.077</v>
      </c>
      <c r="C110" s="34"/>
    </row>
    <row r="111" spans="1:3" ht="12.75">
      <c r="A111" t="s">
        <v>124</v>
      </c>
      <c r="B111" s="35">
        <f>B110*0.5</f>
        <v>1.5385</v>
      </c>
      <c r="C111" s="34"/>
    </row>
    <row r="112" spans="2:6" ht="13.5" thickBot="1">
      <c r="B112" s="36">
        <f>SUM(B106:B111)</f>
        <v>-5.117500000000001</v>
      </c>
      <c r="C112" s="34"/>
      <c r="F112" s="52"/>
    </row>
    <row r="113" spans="2:6" ht="13.5" thickTop="1">
      <c r="B113" s="37"/>
      <c r="C113" s="34"/>
      <c r="F113" s="52"/>
    </row>
    <row r="114" spans="1:2" ht="12.75">
      <c r="A114" t="s">
        <v>128</v>
      </c>
      <c r="B114" s="37">
        <f>LOG10(11*0.111)*20</f>
        <v>1.73431327889765</v>
      </c>
    </row>
    <row r="115" ht="13.5" thickBot="1">
      <c r="B115" s="36">
        <f>SUM(B112:B114)</f>
        <v>-3.3831867211023505</v>
      </c>
    </row>
    <row r="116" ht="13.5" thickTop="1">
      <c r="B116" s="37"/>
    </row>
    <row r="117" spans="1:2" ht="12.75">
      <c r="A117" t="s">
        <v>118</v>
      </c>
      <c r="B117" s="34">
        <v>-19.082</v>
      </c>
    </row>
    <row r="118" spans="1:2" ht="12.75">
      <c r="A118" t="s">
        <v>119</v>
      </c>
      <c r="B118" s="34">
        <v>0.09</v>
      </c>
    </row>
    <row r="119" spans="1:2" ht="12.75">
      <c r="A119" t="s">
        <v>120</v>
      </c>
      <c r="B119" s="34">
        <v>20</v>
      </c>
    </row>
    <row r="120" ht="12.75">
      <c r="B120" s="34"/>
    </row>
    <row r="121" spans="1:2" ht="12.75">
      <c r="A121" t="s">
        <v>122</v>
      </c>
      <c r="B121" s="34">
        <v>6.021</v>
      </c>
    </row>
    <row r="122" spans="1:2" ht="12.75">
      <c r="A122" t="s">
        <v>123</v>
      </c>
      <c r="B122" s="34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B8" sqref="B8"/>
    </sheetView>
  </sheetViews>
  <sheetFormatPr defaultColWidth="11.421875" defaultRowHeight="12.75"/>
  <cols>
    <col min="2" max="2" width="90.421875" style="0" bestFit="1" customWidth="1"/>
  </cols>
  <sheetData>
    <row r="2" spans="1:2" ht="12.75">
      <c r="A2" t="s">
        <v>144</v>
      </c>
      <c r="B2" t="s">
        <v>145</v>
      </c>
    </row>
    <row r="3" ht="12.75">
      <c r="B3" t="s">
        <v>74</v>
      </c>
    </row>
    <row r="4" ht="12.75">
      <c r="B4" t="s">
        <v>148</v>
      </c>
    </row>
    <row r="6" ht="15" customHeight="1">
      <c r="B6" t="s">
        <v>146</v>
      </c>
    </row>
    <row r="7" ht="12.75">
      <c r="B7" t="s">
        <v>179</v>
      </c>
    </row>
    <row r="8" ht="12.75">
      <c r="B8" t="s">
        <v>147</v>
      </c>
    </row>
    <row r="10" spans="2:3" ht="12.75">
      <c r="B10">
        <f>1226.155/2</f>
        <v>613.0775</v>
      </c>
      <c r="C10">
        <v>-1</v>
      </c>
    </row>
    <row r="11" spans="2:3" ht="12.75">
      <c r="B11">
        <f aca="true" t="shared" si="0" ref="B11:B16">B10/2</f>
        <v>306.53875</v>
      </c>
      <c r="C11">
        <f aca="true" t="shared" si="1" ref="C11:C16">C10-1</f>
        <v>-2</v>
      </c>
    </row>
    <row r="12" spans="2:3" ht="12.75">
      <c r="B12">
        <f t="shared" si="0"/>
        <v>153.269375</v>
      </c>
      <c r="C12">
        <f t="shared" si="1"/>
        <v>-3</v>
      </c>
    </row>
    <row r="13" spans="2:3" ht="12.75">
      <c r="B13">
        <f t="shared" si="0"/>
        <v>76.6346875</v>
      </c>
      <c r="C13">
        <f t="shared" si="1"/>
        <v>-4</v>
      </c>
    </row>
    <row r="14" spans="2:3" ht="12.75">
      <c r="B14">
        <f t="shared" si="0"/>
        <v>38.31734375</v>
      </c>
      <c r="C14">
        <f t="shared" si="1"/>
        <v>-5</v>
      </c>
    </row>
    <row r="15" spans="2:3" ht="12.75">
      <c r="B15">
        <f t="shared" si="0"/>
        <v>19.158671875</v>
      </c>
      <c r="C15">
        <f t="shared" si="1"/>
        <v>-6</v>
      </c>
    </row>
    <row r="16" spans="2:4" ht="12.75">
      <c r="B16">
        <f t="shared" si="0"/>
        <v>9.5793359375</v>
      </c>
      <c r="C16">
        <f t="shared" si="1"/>
        <v>-7</v>
      </c>
      <c r="D16" t="s">
        <v>149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Harpo</dc:creator>
  <cp:keywords/>
  <dc:description/>
  <cp:lastModifiedBy>Heger</cp:lastModifiedBy>
  <dcterms:created xsi:type="dcterms:W3CDTF">2008-01-16T10:59:32Z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